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bookViews>
    <workbookView xWindow="0" yWindow="0" windowWidth="23040" windowHeight="9372"/>
  </bookViews>
  <sheets>
    <sheet name="Tl-204" sheetId="1" r:id="rId1"/>
    <sheet name="Na-22" sheetId="2" r:id="rId2"/>
    <sheet name="Sr-90" sheetId="3" r:id="rId3"/>
    <sheet name="Cs-137" sheetId="4" r:id="rId4"/>
    <sheet name="Beta Spec Info" sheetId="5" r:id="rId5"/>
    <sheet name="Geiger Counter Plateau" sheetId="6" r:id="rId6"/>
  </sheets>
  <externalReferences>
    <externalReference r:id="rId7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N19" i="1"/>
  <c r="B19" i="1"/>
  <c r="O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S31" i="1"/>
  <c r="B31" i="1"/>
  <c r="T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S35" i="1"/>
  <c r="B35" i="1"/>
  <c r="T35" i="1"/>
  <c r="C35" i="1"/>
  <c r="D35" i="1"/>
  <c r="E35" i="1"/>
  <c r="B36" i="1"/>
  <c r="C36" i="1"/>
  <c r="D36" i="1"/>
  <c r="E36" i="1"/>
  <c r="B17" i="1"/>
  <c r="C17" i="1"/>
  <c r="D17" i="1"/>
  <c r="E17" i="1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F14" i="6"/>
  <c r="F13" i="6"/>
  <c r="B61" i="4"/>
  <c r="C61" i="4"/>
  <c r="D61" i="4"/>
  <c r="B58" i="1"/>
  <c r="C58" i="1"/>
  <c r="D58" i="1"/>
  <c r="E61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B18" i="4"/>
  <c r="C18" i="4"/>
  <c r="D18" i="4"/>
  <c r="B60" i="4"/>
  <c r="C60" i="4"/>
  <c r="D60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17" i="4"/>
  <c r="C17" i="4"/>
  <c r="D17" i="4"/>
  <c r="E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E60" i="4"/>
  <c r="C57" i="4"/>
  <c r="B57" i="4"/>
  <c r="D57" i="4"/>
  <c r="E57" i="4"/>
  <c r="C56" i="4"/>
  <c r="B56" i="4"/>
  <c r="D56" i="4"/>
  <c r="E56" i="4"/>
  <c r="C55" i="4"/>
  <c r="B55" i="4"/>
  <c r="D55" i="4"/>
  <c r="E55" i="4"/>
  <c r="C54" i="4"/>
  <c r="B54" i="4"/>
  <c r="D54" i="4"/>
  <c r="E54" i="4"/>
  <c r="C53" i="4"/>
  <c r="B53" i="4"/>
  <c r="D53" i="4"/>
  <c r="E53" i="4"/>
  <c r="C52" i="4"/>
  <c r="B52" i="4"/>
  <c r="D52" i="4"/>
  <c r="E52" i="4"/>
  <c r="C51" i="4"/>
  <c r="B51" i="4"/>
  <c r="D51" i="4"/>
  <c r="E51" i="4"/>
  <c r="C50" i="4"/>
  <c r="B50" i="4"/>
  <c r="D50" i="4"/>
  <c r="E50" i="4"/>
  <c r="C49" i="4"/>
  <c r="B49" i="4"/>
  <c r="D49" i="4"/>
  <c r="E49" i="4"/>
  <c r="C48" i="4"/>
  <c r="B48" i="4"/>
  <c r="C47" i="4"/>
  <c r="B47" i="4"/>
  <c r="D47" i="4"/>
  <c r="E47" i="4"/>
  <c r="C46" i="4"/>
  <c r="B46" i="4"/>
  <c r="C45" i="4"/>
  <c r="B45" i="4"/>
  <c r="D45" i="4"/>
  <c r="E45" i="4"/>
  <c r="C44" i="4"/>
  <c r="B44" i="4"/>
  <c r="D44" i="4"/>
  <c r="E44" i="4"/>
  <c r="C43" i="4"/>
  <c r="B43" i="4"/>
  <c r="D43" i="4"/>
  <c r="E43" i="4"/>
  <c r="C42" i="4"/>
  <c r="B42" i="4"/>
  <c r="D42" i="4"/>
  <c r="E42" i="4"/>
  <c r="C41" i="4"/>
  <c r="B41" i="4"/>
  <c r="D41" i="4"/>
  <c r="E41" i="4"/>
  <c r="C40" i="4"/>
  <c r="B40" i="4"/>
  <c r="C39" i="4"/>
  <c r="B39" i="4"/>
  <c r="D39" i="4"/>
  <c r="E39" i="4"/>
  <c r="C38" i="4"/>
  <c r="B38" i="4"/>
  <c r="D38" i="4"/>
  <c r="E38" i="4"/>
  <c r="C37" i="4"/>
  <c r="B37" i="4"/>
  <c r="D37" i="4"/>
  <c r="E37" i="4"/>
  <c r="C36" i="4"/>
  <c r="B36" i="4"/>
  <c r="C35" i="4"/>
  <c r="B35" i="4"/>
  <c r="D35" i="4"/>
  <c r="E35" i="4"/>
  <c r="C34" i="4"/>
  <c r="B34" i="4"/>
  <c r="C33" i="4"/>
  <c r="B33" i="4"/>
  <c r="D33" i="4"/>
  <c r="E33" i="4"/>
  <c r="C32" i="4"/>
  <c r="B32" i="4"/>
  <c r="C31" i="4"/>
  <c r="B31" i="4"/>
  <c r="D31" i="4"/>
  <c r="E31" i="4"/>
  <c r="C30" i="4"/>
  <c r="B30" i="4"/>
  <c r="C29" i="4"/>
  <c r="B29" i="4"/>
  <c r="D29" i="4"/>
  <c r="E29" i="4"/>
  <c r="C28" i="4"/>
  <c r="B28" i="4"/>
  <c r="C27" i="4"/>
  <c r="B27" i="4"/>
  <c r="D27" i="4"/>
  <c r="E27" i="4"/>
  <c r="C26" i="4"/>
  <c r="B26" i="4"/>
  <c r="D26" i="4"/>
  <c r="E26" i="4"/>
  <c r="C25" i="4"/>
  <c r="B25" i="4"/>
  <c r="H18" i="4"/>
  <c r="I18" i="4"/>
  <c r="H17" i="4"/>
  <c r="I17" i="4"/>
  <c r="B61" i="3"/>
  <c r="C61" i="3"/>
  <c r="D61" i="3"/>
  <c r="C37" i="3"/>
  <c r="B37" i="3"/>
  <c r="D37" i="3"/>
  <c r="E37" i="3"/>
  <c r="C35" i="3"/>
  <c r="B35" i="3"/>
  <c r="D35" i="3"/>
  <c r="E35" i="3"/>
  <c r="C36" i="3"/>
  <c r="B36" i="3"/>
  <c r="D36" i="3"/>
  <c r="E36" i="3"/>
  <c r="A18" i="2"/>
  <c r="H18" i="2"/>
  <c r="I18" i="2"/>
  <c r="A19" i="2"/>
  <c r="H19" i="2"/>
  <c r="I19" i="2"/>
  <c r="J19" i="2"/>
  <c r="B19" i="2"/>
  <c r="C19" i="2"/>
  <c r="D19" i="2"/>
  <c r="B55" i="2"/>
  <c r="C55" i="2"/>
  <c r="D55" i="2"/>
  <c r="F19" i="2"/>
  <c r="G19" i="2"/>
  <c r="K19" i="2"/>
  <c r="A20" i="2"/>
  <c r="H20" i="2"/>
  <c r="I20" i="2"/>
  <c r="J20" i="2"/>
  <c r="B20" i="2"/>
  <c r="C20" i="2"/>
  <c r="D20" i="2"/>
  <c r="B54" i="2"/>
  <c r="C54" i="2"/>
  <c r="D54" i="2"/>
  <c r="F20" i="2"/>
  <c r="G20" i="2"/>
  <c r="K20" i="2"/>
  <c r="A21" i="2"/>
  <c r="H21" i="2"/>
  <c r="I21" i="2"/>
  <c r="J21" i="2"/>
  <c r="B21" i="2"/>
  <c r="C21" i="2"/>
  <c r="D21" i="2"/>
  <c r="B53" i="2"/>
  <c r="C53" i="2"/>
  <c r="D53" i="2"/>
  <c r="F21" i="2"/>
  <c r="G21" i="2"/>
  <c r="K21" i="2"/>
  <c r="A22" i="2"/>
  <c r="H22" i="2"/>
  <c r="I22" i="2"/>
  <c r="A23" i="2"/>
  <c r="H23" i="2"/>
  <c r="I23" i="2"/>
  <c r="J23" i="2"/>
  <c r="B23" i="2"/>
  <c r="C23" i="2"/>
  <c r="D23" i="2"/>
  <c r="B51" i="2"/>
  <c r="C51" i="2"/>
  <c r="D51" i="2"/>
  <c r="F23" i="2"/>
  <c r="G23" i="2"/>
  <c r="K23" i="2"/>
  <c r="A24" i="2"/>
  <c r="H24" i="2"/>
  <c r="I24" i="2"/>
  <c r="J24" i="2"/>
  <c r="B24" i="2"/>
  <c r="C24" i="2"/>
  <c r="D24" i="2"/>
  <c r="B50" i="2"/>
  <c r="C50" i="2"/>
  <c r="D50" i="2"/>
  <c r="F24" i="2"/>
  <c r="G24" i="2"/>
  <c r="K24" i="2"/>
  <c r="A25" i="2"/>
  <c r="H25" i="2"/>
  <c r="I25" i="2"/>
  <c r="A26" i="2"/>
  <c r="H26" i="2"/>
  <c r="I26" i="2"/>
  <c r="J26" i="2"/>
  <c r="B26" i="2"/>
  <c r="C26" i="2"/>
  <c r="D26" i="2"/>
  <c r="B48" i="2"/>
  <c r="C48" i="2"/>
  <c r="D48" i="2"/>
  <c r="F26" i="2"/>
  <c r="G26" i="2"/>
  <c r="K26" i="2"/>
  <c r="A27" i="2"/>
  <c r="H27" i="2"/>
  <c r="I27" i="2"/>
  <c r="A28" i="2"/>
  <c r="H28" i="2"/>
  <c r="I28" i="2"/>
  <c r="J28" i="2"/>
  <c r="B28" i="2"/>
  <c r="C28" i="2"/>
  <c r="D28" i="2"/>
  <c r="B46" i="2"/>
  <c r="C46" i="2"/>
  <c r="D46" i="2"/>
  <c r="F28" i="2"/>
  <c r="G28" i="2"/>
  <c r="K28" i="2"/>
  <c r="A29" i="2"/>
  <c r="H29" i="2"/>
  <c r="I29" i="2"/>
  <c r="A30" i="2"/>
  <c r="H30" i="2"/>
  <c r="I30" i="2"/>
  <c r="J30" i="2"/>
  <c r="B30" i="2"/>
  <c r="C30" i="2"/>
  <c r="D30" i="2"/>
  <c r="B44" i="2"/>
  <c r="C44" i="2"/>
  <c r="D44" i="2"/>
  <c r="F30" i="2"/>
  <c r="G30" i="2"/>
  <c r="K30" i="2"/>
  <c r="A31" i="2"/>
  <c r="H31" i="2"/>
  <c r="I31" i="2"/>
  <c r="A32" i="2"/>
  <c r="H32" i="2"/>
  <c r="I32" i="2"/>
  <c r="J32" i="2"/>
  <c r="B32" i="2"/>
  <c r="C32" i="2"/>
  <c r="D32" i="2"/>
  <c r="B42" i="2"/>
  <c r="C42" i="2"/>
  <c r="D42" i="2"/>
  <c r="F32" i="2"/>
  <c r="G32" i="2"/>
  <c r="K32" i="2"/>
  <c r="A33" i="2"/>
  <c r="H33" i="2"/>
  <c r="I33" i="2"/>
  <c r="A34" i="2"/>
  <c r="H34" i="2"/>
  <c r="I34" i="2"/>
  <c r="J34" i="2"/>
  <c r="B34" i="2"/>
  <c r="C34" i="2"/>
  <c r="D34" i="2"/>
  <c r="B40" i="2"/>
  <c r="C40" i="2"/>
  <c r="D40" i="2"/>
  <c r="F34" i="2"/>
  <c r="G34" i="2"/>
  <c r="K34" i="2"/>
  <c r="A35" i="2"/>
  <c r="H35" i="2"/>
  <c r="I35" i="2"/>
  <c r="A36" i="2"/>
  <c r="H36" i="2"/>
  <c r="I36" i="2"/>
  <c r="J36" i="2"/>
  <c r="B36" i="2"/>
  <c r="C36" i="2"/>
  <c r="D36" i="2"/>
  <c r="B38" i="2"/>
  <c r="C38" i="2"/>
  <c r="D38" i="2"/>
  <c r="F36" i="2"/>
  <c r="G36" i="2"/>
  <c r="K36" i="2"/>
  <c r="H17" i="2"/>
  <c r="I17" i="2"/>
  <c r="J18" i="2"/>
  <c r="B18" i="2"/>
  <c r="C18" i="2"/>
  <c r="D18" i="2"/>
  <c r="B56" i="2"/>
  <c r="C56" i="2"/>
  <c r="D56" i="2"/>
  <c r="F18" i="2"/>
  <c r="G18" i="2"/>
  <c r="K18" i="2"/>
  <c r="A18" i="3"/>
  <c r="A19" i="3"/>
  <c r="F19" i="3"/>
  <c r="G19" i="3"/>
  <c r="A20" i="3"/>
  <c r="F20" i="3"/>
  <c r="G20" i="3"/>
  <c r="H20" i="3"/>
  <c r="A21" i="3"/>
  <c r="F21" i="3"/>
  <c r="G21" i="3"/>
  <c r="A22" i="3"/>
  <c r="F22" i="3"/>
  <c r="G22" i="3"/>
  <c r="H22" i="3"/>
  <c r="A23" i="3"/>
  <c r="F23" i="3"/>
  <c r="G23" i="3"/>
  <c r="A24" i="3"/>
  <c r="F24" i="3"/>
  <c r="G24" i="3"/>
  <c r="H24" i="3"/>
  <c r="A25" i="3"/>
  <c r="F25" i="3"/>
  <c r="G25" i="3"/>
  <c r="A26" i="3"/>
  <c r="F26" i="3"/>
  <c r="G26" i="3"/>
  <c r="H26" i="3"/>
  <c r="A27" i="3"/>
  <c r="F27" i="3"/>
  <c r="G27" i="3"/>
  <c r="A28" i="3"/>
  <c r="F28" i="3"/>
  <c r="G28" i="3"/>
  <c r="H28" i="3"/>
  <c r="A29" i="3"/>
  <c r="F29" i="3"/>
  <c r="G29" i="3"/>
  <c r="A30" i="3"/>
  <c r="F30" i="3"/>
  <c r="G30" i="3"/>
  <c r="H30" i="3"/>
  <c r="A31" i="3"/>
  <c r="F31" i="3"/>
  <c r="G31" i="3"/>
  <c r="A32" i="3"/>
  <c r="F32" i="3"/>
  <c r="G32" i="3"/>
  <c r="H32" i="3"/>
  <c r="A33" i="3"/>
  <c r="F33" i="3"/>
  <c r="G33" i="3"/>
  <c r="A34" i="3"/>
  <c r="F34" i="3"/>
  <c r="G34" i="3"/>
  <c r="H34" i="3"/>
  <c r="A35" i="3"/>
  <c r="F35" i="3"/>
  <c r="G35" i="3"/>
  <c r="A36" i="3"/>
  <c r="F36" i="3"/>
  <c r="G36" i="3"/>
  <c r="H36" i="3"/>
  <c r="I36" i="3"/>
  <c r="F18" i="3"/>
  <c r="G18" i="3"/>
  <c r="F17" i="3"/>
  <c r="G17" i="3"/>
  <c r="C18" i="3"/>
  <c r="B18" i="3"/>
  <c r="D18" i="3"/>
  <c r="E18" i="3"/>
  <c r="C19" i="3"/>
  <c r="B19" i="3"/>
  <c r="D19" i="3"/>
  <c r="E19" i="3"/>
  <c r="C20" i="3"/>
  <c r="B20" i="3"/>
  <c r="D20" i="3"/>
  <c r="E20" i="3"/>
  <c r="C21" i="3"/>
  <c r="B21" i="3"/>
  <c r="D21" i="3"/>
  <c r="E21" i="3"/>
  <c r="C22" i="3"/>
  <c r="B22" i="3"/>
  <c r="D22" i="3"/>
  <c r="E22" i="3"/>
  <c r="C23" i="3"/>
  <c r="B23" i="3"/>
  <c r="D23" i="3"/>
  <c r="E23" i="3"/>
  <c r="C24" i="3"/>
  <c r="B24" i="3"/>
  <c r="D24" i="3"/>
  <c r="E24" i="3"/>
  <c r="C25" i="3"/>
  <c r="B25" i="3"/>
  <c r="D25" i="3"/>
  <c r="E25" i="3"/>
  <c r="C26" i="3"/>
  <c r="B26" i="3"/>
  <c r="D26" i="3"/>
  <c r="E26" i="3"/>
  <c r="C27" i="3"/>
  <c r="B27" i="3"/>
  <c r="D27" i="3"/>
  <c r="E27" i="3"/>
  <c r="C28" i="3"/>
  <c r="B28" i="3"/>
  <c r="D28" i="3"/>
  <c r="E28" i="3"/>
  <c r="C29" i="3"/>
  <c r="B29" i="3"/>
  <c r="D29" i="3"/>
  <c r="E29" i="3"/>
  <c r="C30" i="3"/>
  <c r="B30" i="3"/>
  <c r="D30" i="3"/>
  <c r="E30" i="3"/>
  <c r="C31" i="3"/>
  <c r="B31" i="3"/>
  <c r="D31" i="3"/>
  <c r="E31" i="3"/>
  <c r="C32" i="3"/>
  <c r="B32" i="3"/>
  <c r="D32" i="3"/>
  <c r="E32" i="3"/>
  <c r="C33" i="3"/>
  <c r="B33" i="3"/>
  <c r="D33" i="3"/>
  <c r="E33" i="3"/>
  <c r="C34" i="3"/>
  <c r="B34" i="3"/>
  <c r="D34" i="3"/>
  <c r="E34" i="3"/>
  <c r="C17" i="3"/>
  <c r="B17" i="3"/>
  <c r="D17" i="3"/>
  <c r="E17" i="3"/>
  <c r="B37" i="1"/>
  <c r="C37" i="1"/>
  <c r="D37" i="1"/>
  <c r="E37" i="1"/>
  <c r="B39" i="1"/>
  <c r="C39" i="1"/>
  <c r="D39" i="1"/>
  <c r="E39" i="1"/>
  <c r="B41" i="1"/>
  <c r="C41" i="1"/>
  <c r="D41" i="1"/>
  <c r="E41" i="1"/>
  <c r="B43" i="1"/>
  <c r="C43" i="1"/>
  <c r="D43" i="1"/>
  <c r="E43" i="1"/>
  <c r="B45" i="1"/>
  <c r="C45" i="1"/>
  <c r="D45" i="1"/>
  <c r="E45" i="1"/>
  <c r="B47" i="1"/>
  <c r="C47" i="1"/>
  <c r="D47" i="1"/>
  <c r="E47" i="1"/>
  <c r="B49" i="1"/>
  <c r="C49" i="1"/>
  <c r="D49" i="1"/>
  <c r="E49" i="1"/>
  <c r="B51" i="1"/>
  <c r="C51" i="1"/>
  <c r="D51" i="1"/>
  <c r="E51" i="1"/>
  <c r="B53" i="1"/>
  <c r="C53" i="1"/>
  <c r="D53" i="1"/>
  <c r="E53" i="1"/>
  <c r="B55" i="1"/>
  <c r="C55" i="1"/>
  <c r="D55" i="1"/>
  <c r="E55" i="1"/>
  <c r="A18" i="1"/>
  <c r="F18" i="1"/>
  <c r="G18" i="1"/>
  <c r="A19" i="1"/>
  <c r="F19" i="1"/>
  <c r="G19" i="1"/>
  <c r="H19" i="1"/>
  <c r="A20" i="1"/>
  <c r="F20" i="1"/>
  <c r="G20" i="1"/>
  <c r="H20" i="1"/>
  <c r="A21" i="1"/>
  <c r="F21" i="1"/>
  <c r="G21" i="1"/>
  <c r="A22" i="1"/>
  <c r="F22" i="1"/>
  <c r="G22" i="1"/>
  <c r="H22" i="1"/>
  <c r="A23" i="1"/>
  <c r="F23" i="1"/>
  <c r="G23" i="1"/>
  <c r="H23" i="1"/>
  <c r="A24" i="1"/>
  <c r="F24" i="1"/>
  <c r="G24" i="1"/>
  <c r="H24" i="1"/>
  <c r="A25" i="1"/>
  <c r="F25" i="1"/>
  <c r="G25" i="1"/>
  <c r="H25" i="1"/>
  <c r="A26" i="1"/>
  <c r="F26" i="1"/>
  <c r="G26" i="1"/>
  <c r="H26" i="1"/>
  <c r="A27" i="1"/>
  <c r="F27" i="1"/>
  <c r="G27" i="1"/>
  <c r="H27" i="1"/>
  <c r="A28" i="1"/>
  <c r="F28" i="1"/>
  <c r="G28" i="1"/>
  <c r="H28" i="1"/>
  <c r="A29" i="1"/>
  <c r="F29" i="1"/>
  <c r="G29" i="1"/>
  <c r="H29" i="1"/>
  <c r="A30" i="1"/>
  <c r="F30" i="1"/>
  <c r="G30" i="1"/>
  <c r="H30" i="1"/>
  <c r="A31" i="1"/>
  <c r="F31" i="1"/>
  <c r="G31" i="1"/>
  <c r="H31" i="1"/>
  <c r="A32" i="1"/>
  <c r="F32" i="1"/>
  <c r="G32" i="1"/>
  <c r="H32" i="1"/>
  <c r="A33" i="1"/>
  <c r="F33" i="1"/>
  <c r="G33" i="1"/>
  <c r="H33" i="1"/>
  <c r="A34" i="1"/>
  <c r="F34" i="1"/>
  <c r="G34" i="1"/>
  <c r="H34" i="1"/>
  <c r="A35" i="1"/>
  <c r="F35" i="1"/>
  <c r="G35" i="1"/>
  <c r="H35" i="1"/>
  <c r="A36" i="1"/>
  <c r="F36" i="1"/>
  <c r="G36" i="1"/>
  <c r="H36" i="1"/>
  <c r="F17" i="1"/>
  <c r="G17" i="1"/>
  <c r="C38" i="3"/>
  <c r="C39" i="3"/>
  <c r="C40" i="3"/>
  <c r="C41" i="3"/>
  <c r="C42" i="3"/>
  <c r="C43" i="3"/>
  <c r="C44" i="3"/>
  <c r="C45" i="3"/>
  <c r="C46" i="3"/>
  <c r="C47" i="3"/>
  <c r="C48" i="3"/>
  <c r="C49" i="3"/>
  <c r="B49" i="3"/>
  <c r="D49" i="3"/>
  <c r="C50" i="3"/>
  <c r="C51" i="3"/>
  <c r="C52" i="3"/>
  <c r="C53" i="3"/>
  <c r="C54" i="3"/>
  <c r="C55" i="3"/>
  <c r="C56" i="3"/>
  <c r="C57" i="3"/>
  <c r="B38" i="3"/>
  <c r="B39" i="3"/>
  <c r="B40" i="3"/>
  <c r="B41" i="3"/>
  <c r="B42" i="3"/>
  <c r="B43" i="3"/>
  <c r="B44" i="3"/>
  <c r="B45" i="3"/>
  <c r="B46" i="3"/>
  <c r="B47" i="3"/>
  <c r="B48" i="3"/>
  <c r="B50" i="3"/>
  <c r="B51" i="3"/>
  <c r="B52" i="3"/>
  <c r="B53" i="3"/>
  <c r="B54" i="3"/>
  <c r="B55" i="3"/>
  <c r="B56" i="3"/>
  <c r="B57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C22" i="2"/>
  <c r="C25" i="2"/>
  <c r="C27" i="2"/>
  <c r="C29" i="2"/>
  <c r="C31" i="2"/>
  <c r="C33" i="2"/>
  <c r="C35" i="2"/>
  <c r="C37" i="2"/>
  <c r="C39" i="2"/>
  <c r="C41" i="2"/>
  <c r="C43" i="2"/>
  <c r="C45" i="2"/>
  <c r="C47" i="2"/>
  <c r="C49" i="2"/>
  <c r="C52" i="2"/>
  <c r="C57" i="2"/>
  <c r="C60" i="2"/>
  <c r="C61" i="2"/>
  <c r="C17" i="2"/>
  <c r="B22" i="2"/>
  <c r="B25" i="2"/>
  <c r="B27" i="2"/>
  <c r="B29" i="2"/>
  <c r="B31" i="2"/>
  <c r="B33" i="2"/>
  <c r="B35" i="2"/>
  <c r="B37" i="2"/>
  <c r="B39" i="2"/>
  <c r="B41" i="2"/>
  <c r="B43" i="2"/>
  <c r="B45" i="2"/>
  <c r="B47" i="2"/>
  <c r="B49" i="2"/>
  <c r="B52" i="2"/>
  <c r="B57" i="2"/>
  <c r="B60" i="2"/>
  <c r="B61" i="2"/>
  <c r="B17" i="2"/>
  <c r="D61" i="2"/>
  <c r="D57" i="2"/>
  <c r="F17" i="2"/>
  <c r="D60" i="2"/>
  <c r="D49" i="2"/>
  <c r="F25" i="2"/>
  <c r="D47" i="2"/>
  <c r="D45" i="2"/>
  <c r="D43" i="2"/>
  <c r="D41" i="2"/>
  <c r="D39" i="2"/>
  <c r="D37" i="2"/>
  <c r="D35" i="2"/>
  <c r="D33" i="2"/>
  <c r="D31" i="2"/>
  <c r="D29" i="2"/>
  <c r="D27" i="2"/>
  <c r="D25" i="2"/>
  <c r="D22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D17" i="2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E58" i="1"/>
  <c r="J35" i="2"/>
  <c r="F35" i="2"/>
  <c r="G35" i="2"/>
  <c r="K35" i="2"/>
  <c r="J33" i="2"/>
  <c r="F33" i="2"/>
  <c r="G33" i="2"/>
  <c r="K33" i="2"/>
  <c r="J31" i="2"/>
  <c r="F31" i="2"/>
  <c r="G31" i="2"/>
  <c r="K31" i="2"/>
  <c r="J29" i="2"/>
  <c r="F29" i="2"/>
  <c r="G29" i="2"/>
  <c r="K29" i="2"/>
  <c r="J27" i="2"/>
  <c r="F27" i="2"/>
  <c r="G27" i="2"/>
  <c r="K27" i="2"/>
  <c r="J25" i="2"/>
  <c r="G25" i="2"/>
  <c r="K25" i="2"/>
  <c r="J22" i="2"/>
  <c r="D52" i="2"/>
  <c r="F22" i="2"/>
  <c r="G22" i="2"/>
  <c r="K22" i="2"/>
  <c r="H18" i="3"/>
  <c r="H35" i="3"/>
  <c r="I35" i="3"/>
  <c r="H33" i="3"/>
  <c r="H31" i="3"/>
  <c r="I31" i="3"/>
  <c r="H29" i="3"/>
  <c r="H27" i="3"/>
  <c r="I27" i="3"/>
  <c r="H25" i="3"/>
  <c r="H23" i="3"/>
  <c r="I23" i="3"/>
  <c r="H21" i="3"/>
  <c r="H19" i="3"/>
  <c r="I19" i="3"/>
  <c r="H18" i="1"/>
  <c r="H21" i="1"/>
  <c r="I34" i="3"/>
  <c r="I32" i="3"/>
  <c r="I30" i="3"/>
  <c r="I28" i="3"/>
  <c r="I26" i="3"/>
  <c r="I24" i="3"/>
  <c r="I22" i="3"/>
  <c r="I20" i="3"/>
  <c r="I18" i="3"/>
  <c r="I33" i="3"/>
  <c r="I29" i="3"/>
  <c r="I25" i="3"/>
  <c r="I21" i="3"/>
  <c r="D48" i="4"/>
  <c r="E48" i="4"/>
  <c r="D46" i="4"/>
  <c r="E46" i="4"/>
  <c r="D40" i="4"/>
  <c r="E40" i="4"/>
  <c r="D36" i="4"/>
  <c r="E36" i="4"/>
  <c r="D34" i="4"/>
  <c r="E34" i="4"/>
  <c r="D32" i="4"/>
  <c r="E32" i="4"/>
  <c r="D30" i="4"/>
  <c r="E30" i="4"/>
  <c r="D28" i="4"/>
  <c r="E28" i="4"/>
  <c r="D25" i="4"/>
  <c r="E25" i="4"/>
  <c r="J18" i="4"/>
  <c r="H20" i="4"/>
  <c r="I20" i="4"/>
  <c r="F37" i="4"/>
  <c r="G37" i="4"/>
  <c r="F36" i="4"/>
  <c r="G36" i="4"/>
  <c r="F35" i="4"/>
  <c r="G35" i="4"/>
  <c r="F34" i="4"/>
  <c r="G34" i="4"/>
  <c r="F33" i="4"/>
  <c r="G33" i="4"/>
  <c r="F32" i="4"/>
  <c r="G32" i="4"/>
  <c r="F31" i="4"/>
  <c r="G31" i="4"/>
  <c r="F30" i="4"/>
  <c r="G30" i="4"/>
  <c r="F29" i="4"/>
  <c r="G29" i="4"/>
  <c r="F28" i="4"/>
  <c r="G28" i="4"/>
  <c r="F27" i="4"/>
  <c r="G27" i="4"/>
  <c r="F26" i="4"/>
  <c r="G26" i="4"/>
  <c r="F25" i="4"/>
  <c r="G25" i="4"/>
  <c r="F24" i="4"/>
  <c r="G24" i="4"/>
  <c r="F23" i="4"/>
  <c r="G23" i="4"/>
  <c r="F22" i="4"/>
  <c r="G22" i="4"/>
  <c r="F21" i="4"/>
  <c r="G21" i="4"/>
  <c r="F20" i="4"/>
  <c r="G20" i="4"/>
  <c r="F19" i="4"/>
  <c r="G19" i="4"/>
  <c r="F18" i="4"/>
  <c r="G18" i="4"/>
  <c r="F17" i="4"/>
  <c r="G17" i="4"/>
  <c r="D57" i="3"/>
  <c r="D55" i="3"/>
  <c r="D53" i="3"/>
  <c r="D51" i="3"/>
  <c r="D47" i="3"/>
  <c r="D45" i="3"/>
  <c r="D43" i="3"/>
  <c r="D41" i="3"/>
  <c r="D39" i="3"/>
  <c r="D62" i="2"/>
  <c r="E44" i="2"/>
  <c r="G17" i="2"/>
  <c r="I36" i="1"/>
  <c r="I28" i="1"/>
  <c r="I24" i="1"/>
  <c r="I20" i="1"/>
  <c r="E30" i="2"/>
  <c r="E61" i="2"/>
  <c r="E24" i="2"/>
  <c r="E40" i="2"/>
  <c r="F37" i="2"/>
  <c r="G37" i="2"/>
  <c r="I35" i="1"/>
  <c r="I33" i="1"/>
  <c r="I18" i="1"/>
  <c r="I34" i="1"/>
  <c r="I32" i="1"/>
  <c r="E60" i="2"/>
  <c r="I30" i="1"/>
  <c r="I26" i="1"/>
  <c r="I22" i="1"/>
  <c r="I31" i="1"/>
  <c r="I29" i="1"/>
  <c r="I27" i="1"/>
  <c r="I25" i="1"/>
  <c r="I23" i="1"/>
  <c r="I21" i="1"/>
  <c r="I19" i="1"/>
  <c r="K18" i="4"/>
  <c r="H19" i="4"/>
  <c r="I19" i="4"/>
  <c r="J19" i="4"/>
  <c r="K19" i="4"/>
  <c r="H21" i="4"/>
  <c r="I21" i="4"/>
  <c r="J21" i="4"/>
  <c r="K21" i="4"/>
  <c r="J20" i="4"/>
  <c r="K20" i="4"/>
  <c r="E42" i="2"/>
  <c r="E20" i="2"/>
  <c r="E28" i="2"/>
  <c r="E54" i="2"/>
  <c r="E41" i="2"/>
  <c r="E29" i="2"/>
  <c r="E38" i="2"/>
  <c r="E56" i="2"/>
  <c r="E22" i="2"/>
  <c r="E26" i="2"/>
  <c r="E57" i="2"/>
  <c r="E52" i="2"/>
  <c r="E48" i="2"/>
  <c r="E43" i="2"/>
  <c r="E39" i="2"/>
  <c r="E35" i="2"/>
  <c r="E31" i="2"/>
  <c r="E27" i="2"/>
  <c r="E23" i="2"/>
  <c r="E55" i="2"/>
  <c r="E51" i="2"/>
  <c r="E47" i="2"/>
  <c r="E36" i="2"/>
  <c r="E32" i="2"/>
  <c r="E19" i="2"/>
  <c r="E17" i="2"/>
  <c r="E50" i="2"/>
  <c r="E46" i="2"/>
  <c r="E37" i="2"/>
  <c r="E33" i="2"/>
  <c r="E25" i="2"/>
  <c r="E21" i="2"/>
  <c r="E53" i="2"/>
  <c r="E49" i="2"/>
  <c r="E45" i="2"/>
  <c r="E34" i="2"/>
  <c r="E18" i="2"/>
  <c r="H22" i="4"/>
  <c r="I22" i="4"/>
  <c r="J22" i="4"/>
  <c r="K22" i="4"/>
  <c r="H23" i="4"/>
  <c r="I23" i="4"/>
  <c r="J23" i="4"/>
  <c r="K23" i="4"/>
  <c r="H24" i="4"/>
  <c r="I24" i="4"/>
  <c r="J24" i="4"/>
  <c r="K24" i="4"/>
  <c r="H25" i="4"/>
  <c r="I25" i="4"/>
  <c r="J25" i="4"/>
  <c r="K25" i="4"/>
  <c r="H26" i="4"/>
  <c r="I26" i="4"/>
  <c r="J26" i="4"/>
  <c r="K26" i="4"/>
  <c r="H27" i="4"/>
  <c r="I27" i="4"/>
  <c r="J27" i="4"/>
  <c r="K27" i="4"/>
  <c r="H28" i="4"/>
  <c r="I28" i="4"/>
  <c r="J28" i="4"/>
  <c r="K28" i="4"/>
  <c r="H29" i="4"/>
  <c r="I29" i="4"/>
  <c r="J29" i="4"/>
  <c r="K29" i="4"/>
  <c r="H30" i="4"/>
  <c r="I30" i="4"/>
  <c r="J30" i="4"/>
  <c r="K30" i="4"/>
  <c r="H31" i="4"/>
  <c r="I31" i="4"/>
  <c r="J31" i="4"/>
  <c r="K31" i="4"/>
  <c r="H32" i="4"/>
  <c r="I32" i="4"/>
  <c r="J32" i="4"/>
  <c r="K32" i="4"/>
  <c r="H33" i="4"/>
  <c r="I33" i="4"/>
  <c r="J33" i="4"/>
  <c r="K33" i="4"/>
  <c r="H34" i="4"/>
  <c r="I34" i="4"/>
  <c r="J34" i="4"/>
  <c r="K34" i="4"/>
  <c r="H35" i="4"/>
  <c r="I35" i="4"/>
  <c r="J35" i="4"/>
  <c r="K35" i="4"/>
  <c r="H36" i="4"/>
  <c r="I36" i="4"/>
  <c r="J36" i="4"/>
  <c r="K36" i="4"/>
</calcChain>
</file>

<file path=xl/sharedStrings.xml><?xml version="1.0" encoding="utf-8"?>
<sst xmlns="http://schemas.openxmlformats.org/spreadsheetml/2006/main" count="349" uniqueCount="164">
  <si>
    <t xml:space="preserve">Beta Spectrograph </t>
  </si>
  <si>
    <t>Rick Dower</t>
  </si>
  <si>
    <t>rick.dower@roxburylatin.org</t>
  </si>
  <si>
    <t>DATA</t>
  </si>
  <si>
    <t>Source: Tl-204</t>
  </si>
  <si>
    <r>
      <t xml:space="preserve">1.0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Ci source prepared August 2011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</si>
  <si>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3.78 a</t>
    </r>
  </si>
  <si>
    <t>GM tube: 25 mm diameter end window</t>
  </si>
  <si>
    <t xml:space="preserve">Spectrograph magnets: </t>
  </si>
  <si>
    <t>GM tube angle</t>
  </si>
  <si>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(deg)</t>
    </r>
  </si>
  <si>
    <t>Date</t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</si>
  <si>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</rPr>
      <t xml:space="preserve">t </t>
    </r>
    <r>
      <rPr>
        <sz val="11"/>
        <color theme="1"/>
        <rFont val="Calibri"/>
        <family val="2"/>
      </rPr>
      <t>(min)</t>
    </r>
  </si>
  <si>
    <t>Counts</t>
  </si>
  <si>
    <t>(counts/min)</t>
  </si>
  <si>
    <t>Data and Analysis</t>
  </si>
  <si>
    <t>TOTAL</t>
  </si>
  <si>
    <t>Start</t>
  </si>
  <si>
    <t>Stop</t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</si>
  <si>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</rPr>
      <t>t</t>
    </r>
  </si>
  <si>
    <t>(min)</t>
  </si>
  <si>
    <t>NO SOURCE</t>
  </si>
  <si>
    <t>Count Rate (CR)</t>
  </si>
  <si>
    <t>CR-BKGD</t>
  </si>
  <si>
    <t>Source: Na-22</t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</si>
  <si>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2.6 a</t>
    </r>
  </si>
  <si>
    <r>
      <t xml:space="preserve">1.0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Ci source prepared October 2011</t>
    </r>
  </si>
  <si>
    <t>V</t>
  </si>
  <si>
    <t xml:space="preserve">GM tube voltage = </t>
  </si>
  <si>
    <r>
      <t>CR(-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)</t>
    </r>
  </si>
  <si>
    <t>Average BKGD:</t>
  </si>
  <si>
    <r>
      <t>CR-CR(-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)</t>
    </r>
  </si>
  <si>
    <t>Source: Sr-90</t>
  </si>
  <si>
    <r>
      <t xml:space="preserve">0.1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Ci source prepared October 2011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</si>
  <si>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28.8 a</t>
    </r>
  </si>
  <si>
    <t>from source</t>
  </si>
  <si>
    <r>
      <t xml:space="preserve">Diameter: 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</si>
  <si>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Mag. field: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</si>
  <si>
    <t>cm</t>
  </si>
  <si>
    <t>tesla</t>
  </si>
  <si>
    <r>
      <rPr>
        <i/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 xml:space="preserve"> mass :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</t>
    </r>
  </si>
  <si>
    <t>MeV</t>
  </si>
  <si>
    <t>(MeV)</t>
  </si>
  <si>
    <t>r</t>
  </si>
  <si>
    <t>(cm)</t>
  </si>
  <si>
    <r>
      <t>(</t>
    </r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 xml:space="preserve"> = 5°)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</si>
  <si>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>/</t>
    </r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Symbol"/>
        <family val="1"/>
        <charset val="2"/>
      </rPr>
      <t>q</t>
    </r>
  </si>
  <si>
    <r>
      <t>(MeV/5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)</t>
    </r>
  </si>
  <si>
    <r>
      <t>(CR-BKGD)</t>
    </r>
    <r>
      <rPr>
        <sz val="11"/>
        <color theme="1"/>
        <rFont val="Calibri"/>
        <family val="2"/>
        <scheme val="minor"/>
      </rPr>
      <t>/(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KE/</t>
    </r>
    <r>
      <rPr>
        <sz val="11"/>
        <color theme="1"/>
        <rFont val="Symbol"/>
        <family val="1"/>
        <charset val="2"/>
      </rPr>
      <t>Dq</t>
    </r>
    <r>
      <rPr>
        <sz val="11"/>
        <color theme="1"/>
        <rFont val="Calibri"/>
        <family val="2"/>
        <scheme val="minor"/>
      </rPr>
      <t>)</t>
    </r>
  </si>
  <si>
    <r>
      <t>(cts/min/MeV/5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)</t>
    </r>
  </si>
  <si>
    <r>
      <t>"Geometry of the collimator and the collector in the Spectrograph have a fixed collection angle of about 5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." - Instruction Manual</t>
    </r>
  </si>
  <si>
    <t>(assumed)</t>
  </si>
  <si>
    <t>BKGD value:</t>
  </si>
  <si>
    <t>NO SOURCE:</t>
  </si>
  <si>
    <r>
      <t>(CR-CR(-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))/(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KE/</t>
    </r>
    <r>
      <rPr>
        <sz val="11"/>
        <color theme="1"/>
        <rFont val="Symbol"/>
        <family val="1"/>
        <charset val="2"/>
      </rPr>
      <t>Dq</t>
    </r>
    <r>
      <rPr>
        <sz val="11"/>
        <color theme="1"/>
        <rFont val="Calibri"/>
        <family val="2"/>
        <scheme val="minor"/>
      </rPr>
      <t>)</t>
    </r>
  </si>
  <si>
    <t>Source: Cs-137</t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</si>
  <si>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30.1 a</t>
    </r>
  </si>
  <si>
    <t>b</t>
  </si>
  <si>
    <t>KE</t>
  </si>
  <si>
    <t>start</t>
  </si>
  <si>
    <t>end</t>
  </si>
  <si>
    <r>
      <t xml:space="preserve">5.0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Ci source prepared 2009</t>
    </r>
  </si>
  <si>
    <t>Daedalon Corporation</t>
  </si>
  <si>
    <t>Beta Spectrometer</t>
  </si>
  <si>
    <t>Two ceramic disk magnets supported on an iron yoke</t>
  </si>
  <si>
    <t>Measured 12/12/2011 by RGD</t>
  </si>
  <si>
    <r>
      <t xml:space="preserve">Magnet diameter: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</si>
  <si>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Magnet separtion: </t>
    </r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</t>
    </r>
  </si>
  <si>
    <t>distance between centers of vertical wires</t>
  </si>
  <si>
    <r>
      <t>Magnetic field (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 measured with current balance 1/19/2012 by RGD:</t>
    </r>
  </si>
  <si>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mg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ILB</t>
    </r>
  </si>
  <si>
    <r>
      <t xml:space="preserve">Magnetic field: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</si>
  <si>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for 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</si>
  <si>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Spectrograph with beta source and GM tube</t>
  </si>
  <si>
    <r>
      <t>e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curve toward left.    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curve toward right.</t>
    </r>
  </si>
  <si>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field vertically down across magnet pole gap</t>
    </r>
  </si>
  <si>
    <r>
      <t xml:space="preserve">better value for 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mbol"/>
        <family val="1"/>
        <charset val="2"/>
      </rPr>
      <t>^</t>
    </r>
    <r>
      <rPr>
        <sz val="11"/>
        <color theme="1"/>
        <rFont val="Calibri"/>
        <family val="2"/>
      </rPr>
      <t xml:space="preserve"> to </t>
    </r>
    <r>
      <rPr>
        <i/>
        <sz val="11"/>
        <color theme="1"/>
        <rFont val="Calibri"/>
        <family val="2"/>
      </rPr>
      <t>B</t>
    </r>
  </si>
  <si>
    <t>This seems reasonable , given the measured values above.</t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</si>
  <si>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= </t>
    </r>
  </si>
  <si>
    <t>This value is given in beta spectrograph documentation.</t>
  </si>
  <si>
    <r>
      <t xml:space="preserve">value measured 12/19/2012 for 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 7.5 cm</t>
    </r>
  </si>
  <si>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mg/IL</t>
    </r>
  </si>
  <si>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mass of #30 wire that balances magnetic force = 0.45 g for 100 cm wire</t>
    </r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</si>
  <si>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current required to balance weight of #30 wire = 0.85 A for 100 cm #30 wire on balance</t>
    </r>
  </si>
  <si>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 length of current balance loop wire </t>
    </r>
    <r>
      <rPr>
        <sz val="11"/>
        <color theme="1"/>
        <rFont val="Symbol"/>
        <family val="1"/>
        <charset val="2"/>
      </rPr>
      <t>^</t>
    </r>
    <r>
      <rPr>
        <sz val="11"/>
        <color theme="1"/>
        <rFont val="Calibri"/>
        <family val="2"/>
      </rPr>
      <t xml:space="preserve"> to</t>
    </r>
    <r>
      <rPr>
        <sz val="11"/>
        <color theme="1"/>
        <rFont val="Calibri"/>
        <family val="2"/>
        <scheme val="minor"/>
      </rPr>
      <t xml:space="preserve"> magnetic field</t>
    </r>
  </si>
  <si>
    <r>
      <rPr>
        <vertAlign val="subscript"/>
        <sz val="11"/>
        <color theme="1"/>
        <rFont val="Calibri"/>
        <family val="2"/>
        <scheme val="minor"/>
      </rPr>
      <t>81</t>
    </r>
    <r>
      <rPr>
        <sz val="11"/>
        <color theme="1"/>
        <rFont val="Calibri"/>
        <family val="2"/>
        <scheme val="minor"/>
      </rPr>
      <t xml:space="preserve">Tl-204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82</t>
    </r>
    <r>
      <rPr>
        <sz val="11"/>
        <color theme="1"/>
        <rFont val="Calibri"/>
        <family val="2"/>
      </rPr>
      <t>Pb-204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+ anti-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(97%)</t>
    </r>
  </si>
  <si>
    <r>
      <rPr>
        <vertAlign val="subscript"/>
        <sz val="11"/>
        <color theme="1"/>
        <rFont val="Calibri"/>
        <family val="2"/>
        <scheme val="minor"/>
      </rPr>
      <t>38</t>
    </r>
    <r>
      <rPr>
        <sz val="11"/>
        <color theme="1"/>
        <rFont val="Calibri"/>
        <family val="2"/>
        <scheme val="minor"/>
      </rPr>
      <t xml:space="preserve">Sr-90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39</t>
    </r>
    <r>
      <rPr>
        <sz val="11"/>
        <color theme="1"/>
        <rFont val="Calibri"/>
        <family val="2"/>
      </rPr>
      <t>Y-90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+ anti-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(100%)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</si>
  <si>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2.67 d</t>
    </r>
  </si>
  <si>
    <r>
      <rPr>
        <vertAlign val="subscript"/>
        <sz val="11"/>
        <color theme="1"/>
        <rFont val="Calibri"/>
        <family val="2"/>
        <scheme val="minor"/>
      </rPr>
      <t>39</t>
    </r>
    <r>
      <rPr>
        <sz val="11"/>
        <color theme="1"/>
        <rFont val="Calibri"/>
        <family val="2"/>
        <scheme val="minor"/>
      </rPr>
      <t xml:space="preserve">Y-90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40</t>
    </r>
    <r>
      <rPr>
        <sz val="11"/>
        <color theme="1"/>
        <rFont val="Calibri"/>
        <family val="2"/>
      </rPr>
      <t>Zr-90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+ anti-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(100%)</t>
    </r>
  </si>
  <si>
    <t>beta energy end point = 2.282 MeV</t>
  </si>
  <si>
    <t>beta energy end point = 0.546 MeV</t>
  </si>
  <si>
    <t>beta energy end point = 0.7637 MeV</t>
  </si>
  <si>
    <r>
      <rPr>
        <vertAlign val="sub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Na-22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10</t>
    </r>
    <r>
      <rPr>
        <sz val="11"/>
        <color theme="1"/>
        <rFont val="Calibri"/>
        <family val="2"/>
      </rPr>
      <t>Ne-22* + e</t>
    </r>
    <r>
      <rPr>
        <vertAlign val="superscript"/>
        <sz val="11"/>
        <color theme="1"/>
        <rFont val="Calibri"/>
        <family val="2"/>
      </rPr>
      <t>+</t>
    </r>
    <r>
      <rPr>
        <sz val="11"/>
        <color theme="1"/>
        <rFont val="Calibri"/>
        <family val="2"/>
      </rPr>
      <t xml:space="preserve"> + 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(90.4%)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</si>
  <si>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2.6 ps</t>
    </r>
  </si>
  <si>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Ne-22*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10</t>
    </r>
    <r>
      <rPr>
        <sz val="11"/>
        <color theme="1"/>
        <rFont val="Calibri"/>
        <family val="2"/>
      </rPr>
      <t xml:space="preserve">Ne-22 + 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 xml:space="preserve">  (100%)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</si>
  <si>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 xml:space="preserve"> energy = 1.275 MeV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</si>
  <si>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 xml:space="preserve"> energy = 0.511 MeV</t>
    </r>
  </si>
  <si>
    <r>
      <rPr>
        <vertAlign val="subscript"/>
        <sz val="11"/>
        <color theme="1"/>
        <rFont val="Calibri"/>
        <family val="2"/>
        <scheme val="minor"/>
      </rPr>
      <t>55</t>
    </r>
    <r>
      <rPr>
        <sz val="11"/>
        <color theme="1"/>
        <rFont val="Calibri"/>
        <family val="2"/>
        <scheme val="minor"/>
      </rPr>
      <t xml:space="preserve">Cs-137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56</t>
    </r>
    <r>
      <rPr>
        <sz val="11"/>
        <color theme="1"/>
        <rFont val="Calibri"/>
        <family val="2"/>
      </rPr>
      <t>Ba-137*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+ anti-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(95%)</t>
    </r>
  </si>
  <si>
    <t>beta energy end point = 0.514 MeV</t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</si>
  <si>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2.55 m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</si>
  <si>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 xml:space="preserve"> energy = 0.6617 MeV</t>
    </r>
  </si>
  <si>
    <r>
      <rPr>
        <vertAlign val="subscript"/>
        <sz val="11"/>
        <color theme="1"/>
        <rFont val="Calibri"/>
        <family val="2"/>
        <scheme val="minor"/>
      </rPr>
      <t>55</t>
    </r>
    <r>
      <rPr>
        <sz val="11"/>
        <color theme="1"/>
        <rFont val="Calibri"/>
        <family val="2"/>
        <scheme val="minor"/>
      </rPr>
      <t xml:space="preserve">Cs-137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56</t>
    </r>
    <r>
      <rPr>
        <sz val="11"/>
        <color theme="1"/>
        <rFont val="Calibri"/>
        <family val="2"/>
      </rPr>
      <t>Ba-137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+ anti-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(5%)</t>
    </r>
  </si>
  <si>
    <t>beta energy end point = 1.173 MeV</t>
  </si>
  <si>
    <t>Ba K x-ray = 37 keV</t>
  </si>
  <si>
    <r>
      <rPr>
        <vertAlign val="subscript"/>
        <sz val="11"/>
        <color theme="1"/>
        <rFont val="Calibri"/>
        <family val="2"/>
        <scheme val="minor"/>
      </rPr>
      <t>56</t>
    </r>
    <r>
      <rPr>
        <sz val="11"/>
        <color theme="1"/>
        <rFont val="Calibri"/>
        <family val="2"/>
        <scheme val="minor"/>
      </rPr>
      <t xml:space="preserve">Ba-137*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56</t>
    </r>
    <r>
      <rPr>
        <sz val="11"/>
        <color theme="1"/>
        <rFont val="Calibri"/>
        <family val="2"/>
      </rPr>
      <t xml:space="preserve">Ba-137 + 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 xml:space="preserve">  (85%)</t>
    </r>
  </si>
  <si>
    <r>
      <t>e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ymbol"/>
        <family val="1"/>
        <charset val="2"/>
      </rPr>
      <t>g + g</t>
    </r>
    <r>
      <rPr>
        <sz val="11"/>
        <color theme="1"/>
        <rFont val="Calibri"/>
        <family val="2"/>
        <scheme val="minor"/>
      </rPr>
      <t xml:space="preserve">      (annihilation)</t>
    </r>
  </si>
  <si>
    <r>
      <t>CR-CR(-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) accounts for 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 xml:space="preserve"> ray background, detector geometry</t>
    </r>
  </si>
  <si>
    <r>
      <t xml:space="preserve">Geometry:  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Symbol"/>
        <family val="1"/>
        <charset val="2"/>
      </rPr>
      <t xml:space="preserve"> + 2</t>
    </r>
    <r>
      <rPr>
        <i/>
        <sz val="11"/>
        <color theme="1"/>
        <rFont val="Symbol"/>
        <family val="1"/>
        <charset val="2"/>
      </rPr>
      <t>f</t>
    </r>
    <r>
      <rPr>
        <sz val="11"/>
        <color theme="1"/>
        <rFont val="Symbol"/>
        <family val="1"/>
        <charset val="2"/>
      </rPr>
      <t xml:space="preserve"> = 180</t>
    </r>
    <r>
      <rPr>
        <sz val="11"/>
        <color theme="1"/>
        <rFont val="Calibri"/>
        <family val="2"/>
      </rPr>
      <t>°</t>
    </r>
  </si>
  <si>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Symbol"/>
        <family val="1"/>
        <charset val="2"/>
      </rPr>
      <t xml:space="preserve">/2 + </t>
    </r>
    <r>
      <rPr>
        <i/>
        <sz val="11"/>
        <color theme="1"/>
        <rFont val="Symbol"/>
        <family val="1"/>
        <charset val="2"/>
      </rPr>
      <t>f</t>
    </r>
    <r>
      <rPr>
        <sz val="11"/>
        <color theme="1"/>
        <rFont val="Symbol"/>
        <family val="1"/>
        <charset val="2"/>
      </rPr>
      <t xml:space="preserve"> = 90</t>
    </r>
    <r>
      <rPr>
        <sz val="11"/>
        <color theme="1"/>
        <rFont val="Calibri"/>
        <family val="2"/>
      </rPr>
      <t>°</t>
    </r>
  </si>
  <si>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/tan(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/2)</t>
    </r>
  </si>
  <si>
    <t>Physics:</t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</si>
  <si>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(MeV</t>
    </r>
    <r>
      <rPr>
        <i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>c) = 3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(tesla)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(cm)</t>
    </r>
  </si>
  <si>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</t>
    </r>
  </si>
  <si>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 xml:space="preserve"> = (</t>
    </r>
    <r>
      <rPr>
        <i/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</t>
    </r>
    <r>
      <rPr>
        <i/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m</t>
    </r>
  </si>
  <si>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[((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+ 1)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- 1]</t>
    </r>
  </si>
  <si>
    <r>
      <rPr>
        <i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= magnet radius</t>
    </r>
  </si>
  <si>
    <r>
      <rPr>
        <i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= radius of curvature of beta</t>
    </r>
  </si>
  <si>
    <t>Current Balance Wire Shape</t>
  </si>
  <si>
    <t>Geiger-Mueller Tube Plateau Measurements</t>
  </si>
  <si>
    <t>2011 September</t>
  </si>
  <si>
    <t>25 mm end window diameter tube</t>
  </si>
  <si>
    <t>Centronic N204/BNC  SN 067-3211</t>
  </si>
  <si>
    <t xml:space="preserve">Tube attached to The Nucleus Model 500 Scaler </t>
  </si>
  <si>
    <r>
      <t xml:space="preserve">Source:  5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 xml:space="preserve">Ci CS-137 </t>
    </r>
    <r>
      <rPr>
        <sz val="12"/>
        <color theme="1"/>
        <rFont val="Symbol"/>
        <family val="1"/>
        <charset val="2"/>
      </rPr>
      <t>b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1"/>
        <rFont val="Symbol"/>
        <family val="1"/>
        <charset val="2"/>
      </rPr>
      <t>g</t>
    </r>
    <r>
      <rPr>
        <sz val="12"/>
        <color theme="1"/>
        <rFont val="Calibri"/>
        <family val="2"/>
        <scheme val="minor"/>
      </rPr>
      <t xml:space="preserve"> on 3rd shelf of sample holder</t>
    </r>
  </si>
  <si>
    <t>Source about 3 cm below GM window</t>
  </si>
  <si>
    <t>Tube Voltage</t>
  </si>
  <si>
    <t>counts/0.5 min</t>
  </si>
  <si>
    <t>(Volts)</t>
  </si>
  <si>
    <t>Run 1</t>
  </si>
  <si>
    <t>Run 2</t>
  </si>
  <si>
    <t>Run 3</t>
  </si>
  <si>
    <t>Run 4</t>
  </si>
  <si>
    <t>Average</t>
  </si>
  <si>
    <t xml:space="preserve"> </t>
  </si>
  <si>
    <t>OPERATING VOLTAGE CHOSEN AT 920 VOLTS.</t>
  </si>
  <si>
    <r>
      <t>tan (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 xml:space="preserve">/2) = </t>
    </r>
    <r>
      <rPr>
        <i/>
        <sz val="11"/>
        <color theme="1"/>
        <rFont val="Calibri"/>
        <family val="2"/>
      </rPr>
      <t>R/r</t>
    </r>
  </si>
  <si>
    <t>5mm wide and in Pb plate is 4 mm wide.</t>
  </si>
  <si>
    <t xml:space="preserve">Opening in metal plate near source is  </t>
  </si>
  <si>
    <t xml:space="preserve">Opening in front of GM tube is </t>
  </si>
  <si>
    <r>
      <t xml:space="preserve">a circle with diameter 5.5 </t>
    </r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0.5 mm .</t>
    </r>
  </si>
  <si>
    <t>is varied.</t>
  </si>
  <si>
    <r>
      <t xml:space="preserve">For </t>
    </r>
    <r>
      <rPr>
        <i/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</rPr>
      <t xml:space="preserve"> KE plot the count rate at -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 xml:space="preserve"> is subtracted to account</t>
    </r>
  </si>
  <si>
    <r>
      <t xml:space="preserve">for the variable 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 xml:space="preserve"> background due to the varying absorption</t>
    </r>
  </si>
  <si>
    <t>geometry begtween source and GM tube as source position</t>
  </si>
  <si>
    <r>
      <t>is varied. Variability in location of the e+  e</t>
    </r>
    <r>
      <rPr>
        <sz val="11"/>
        <color theme="1"/>
        <rFont val="Calibri"/>
        <family val="2"/>
      </rPr>
      <t xml:space="preserve">– </t>
    </r>
    <r>
      <rPr>
        <sz val="11"/>
        <color theme="1"/>
        <rFont val="Calibri"/>
        <family val="2"/>
        <scheme val="minor"/>
      </rPr>
      <t>annihilation</t>
    </r>
  </si>
  <si>
    <t>may account for the variability in the residual background.</t>
  </si>
  <si>
    <t xml:space="preserve">Vertical gap between </t>
  </si>
  <si>
    <t>Nucleus Model 500 Scaler with 25 mm GM tube</t>
  </si>
  <si>
    <t>Spectrometer available from The Science Source in Maine   Internet:  www.thesciencesource.com    Phone:   1-800-299-5469</t>
  </si>
  <si>
    <t>GM tubes, counters, sources available from Spectrum Techniques, Oak Ridge, TN   Internet:   www.spectrumtechniques.com</t>
  </si>
  <si>
    <t>Roxbury Latin School</t>
  </si>
  <si>
    <t>disk magnets is 12 mm.</t>
  </si>
  <si>
    <t>Measured 5/30/2012 by RGD</t>
  </si>
  <si>
    <t>The values in yellow are zero within measurement uncertainty.</t>
  </si>
  <si>
    <t xml:space="preserve">     and compare that to the end point energy of the decay.</t>
  </si>
  <si>
    <t>http://t2.lanl.gov/nis/data/astro/molnix96/massd.html .</t>
  </si>
  <si>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Tl-204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Pb-204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0.779 MeV,</t>
    </r>
  </si>
  <si>
    <t>which is about the same as the end-point energy of 0.764 MeV.</t>
  </si>
  <si>
    <t xml:space="preserve">5. Compute the energy available from the mass change in the decay, </t>
  </si>
  <si>
    <r>
      <t xml:space="preserve">Nuclear Masses: </t>
    </r>
    <r>
      <rPr>
        <i/>
        <sz val="11"/>
        <color rgb="FF000000"/>
        <rFont val="Calibri"/>
        <family val="2"/>
        <scheme val="minor"/>
      </rPr>
      <t>m</t>
    </r>
    <r>
      <rPr>
        <vertAlign val="subscript"/>
        <sz val="11"/>
        <color rgb="FF000000"/>
        <rFont val="Calibri"/>
        <family val="2"/>
        <scheme val="minor"/>
      </rPr>
      <t>Tl-204</t>
    </r>
    <r>
      <rPr>
        <sz val="11"/>
        <color rgb="FF000000"/>
        <rFont val="Calibri"/>
        <family val="2"/>
        <scheme val="minor"/>
      </rPr>
      <t xml:space="preserve"> = 189.960026 GeV, </t>
    </r>
    <r>
      <rPr>
        <i/>
        <sz val="11"/>
        <color rgb="FF000000"/>
        <rFont val="Calibri"/>
        <family val="2"/>
        <scheme val="minor"/>
      </rPr>
      <t>m</t>
    </r>
    <r>
      <rPr>
        <vertAlign val="subscript"/>
        <sz val="11"/>
        <color rgb="FF000000"/>
        <rFont val="Calibri"/>
        <family val="2"/>
        <scheme val="minor"/>
      </rPr>
      <t>Pb-204</t>
    </r>
    <r>
      <rPr>
        <sz val="11"/>
        <color rgb="FF000000"/>
        <rFont val="Calibri"/>
        <family val="2"/>
        <scheme val="minor"/>
      </rPr>
      <t xml:space="preserve"> = 189.958736 GeV,</t>
    </r>
  </si>
  <si>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0.5110 MeV</t>
    </r>
  </si>
  <si>
    <t xml:space="preserve">The nuclear isotope masses are adapted from Los Alamos National </t>
  </si>
  <si>
    <t>Laboratory website</t>
  </si>
  <si>
    <t>rickdower@gmail.com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</si>
</sst>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14" fontId="0" fillId="0" borderId="0" xfId="0" applyNumberFormat="1"/>
    <xf numFmtId="0" fontId="2" fillId="0" borderId="0" xfId="1" applyAlignment="1" applyProtection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0" applyFont="1"/>
    <xf numFmtId="2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4" fontId="10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20" fontId="10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0" fillId="0" borderId="0" xfId="0" applyNumberFormat="1" applyBorder="1"/>
    <xf numFmtId="20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center"/>
    </xf>
    <xf numFmtId="2" fontId="0" fillId="0" borderId="0" xfId="0" applyNumberFormat="1"/>
    <xf numFmtId="165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left"/>
    </xf>
    <xf numFmtId="2" fontId="7" fillId="0" borderId="0" xfId="0" applyNumberFormat="1" applyFont="1" applyAlignment="1">
      <alignment horizontal="left"/>
    </xf>
    <xf numFmtId="0" fontId="11" fillId="0" borderId="0" xfId="0" applyFont="1"/>
    <xf numFmtId="0" fontId="10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/>
    <xf numFmtId="0" fontId="10" fillId="0" borderId="0" xfId="0" applyFont="1" applyAlignment="1">
      <alignment horizontal="right"/>
    </xf>
    <xf numFmtId="0" fontId="7" fillId="0" borderId="0" xfId="0" applyFont="1"/>
    <xf numFmtId="0" fontId="19" fillId="0" borderId="0" xfId="0" applyFont="1"/>
    <xf numFmtId="0" fontId="0" fillId="0" borderId="0" xfId="0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Font="1"/>
    <xf numFmtId="166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left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2" fontId="0" fillId="2" borderId="0" xfId="0" applyNumberFormat="1" applyFill="1"/>
    <xf numFmtId="0" fontId="0" fillId="0" borderId="0" xfId="0" applyFill="1"/>
    <xf numFmtId="0" fontId="21" fillId="3" borderId="0" xfId="0" applyFont="1" applyFill="1"/>
    <xf numFmtId="0" fontId="21" fillId="2" borderId="0" xfId="0" applyFont="1" applyFill="1"/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Tl-204 ((Count/min) - Bkgd)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xVal>
            <c:numRef>
              <c:f>'Tl-204'!$A$17:$A$37</c:f>
              <c:numCache>
                <c:formatCode>General</c:formatCode>
                <c:ptCount val="21"/>
                <c:pt idx="0">
                  <c:v>-100</c:v>
                </c:pt>
                <c:pt idx="1">
                  <c:v>-95</c:v>
                </c:pt>
                <c:pt idx="2">
                  <c:v>-90</c:v>
                </c:pt>
                <c:pt idx="3">
                  <c:v>-85</c:v>
                </c:pt>
                <c:pt idx="4">
                  <c:v>-80</c:v>
                </c:pt>
                <c:pt idx="5">
                  <c:v>-75</c:v>
                </c:pt>
                <c:pt idx="6">
                  <c:v>-70</c:v>
                </c:pt>
                <c:pt idx="7">
                  <c:v>-65</c:v>
                </c:pt>
                <c:pt idx="8">
                  <c:v>-60</c:v>
                </c:pt>
                <c:pt idx="9">
                  <c:v>-55</c:v>
                </c:pt>
                <c:pt idx="10">
                  <c:v>-50</c:v>
                </c:pt>
                <c:pt idx="11">
                  <c:v>-45</c:v>
                </c:pt>
                <c:pt idx="12">
                  <c:v>-40</c:v>
                </c:pt>
                <c:pt idx="13">
                  <c:v>-35</c:v>
                </c:pt>
                <c:pt idx="14">
                  <c:v>-30</c:v>
                </c:pt>
                <c:pt idx="15">
                  <c:v>-25</c:v>
                </c:pt>
                <c:pt idx="16">
                  <c:v>-20</c:v>
                </c:pt>
                <c:pt idx="17">
                  <c:v>-15</c:v>
                </c:pt>
                <c:pt idx="18">
                  <c:v>-10</c:v>
                </c:pt>
                <c:pt idx="19">
                  <c:v>-5</c:v>
                </c:pt>
                <c:pt idx="20">
                  <c:v>0</c:v>
                </c:pt>
              </c:numCache>
            </c:numRef>
          </c:xVal>
          <c:yVal>
            <c:numRef>
              <c:f>'Tl-204'!$E$17:$E$38</c:f>
              <c:numCache>
                <c:formatCode>0.00</c:formatCode>
                <c:ptCount val="22"/>
                <c:pt idx="0">
                  <c:v>67.27389380530974</c:v>
                </c:pt>
                <c:pt idx="1">
                  <c:v>66.048773006134979</c:v>
                </c:pt>
                <c:pt idx="2">
                  <c:v>62.232352941176465</c:v>
                </c:pt>
                <c:pt idx="3">
                  <c:v>40.990557275541796</c:v>
                </c:pt>
                <c:pt idx="4">
                  <c:v>26.483333333333334</c:v>
                </c:pt>
                <c:pt idx="5">
                  <c:v>13.400561797752809</c:v>
                </c:pt>
                <c:pt idx="6">
                  <c:v>6.3081858407079654</c:v>
                </c:pt>
                <c:pt idx="7">
                  <c:v>2.5434837092731843</c:v>
                </c:pt>
                <c:pt idx="8">
                  <c:v>1.2035019455252929</c:v>
                </c:pt>
                <c:pt idx="9">
                  <c:v>0.16847290640394164</c:v>
                </c:pt>
                <c:pt idx="10">
                  <c:v>-9.72885032537949E-2</c:v>
                </c:pt>
                <c:pt idx="11">
                  <c:v>-0.33493723849372437</c:v>
                </c:pt>
                <c:pt idx="12">
                  <c:v>-0.32972972972972947</c:v>
                </c:pt>
                <c:pt idx="13">
                  <c:v>4.2654028436022173E-3</c:v>
                </c:pt>
                <c:pt idx="14">
                  <c:v>-0.28089960886570964</c:v>
                </c:pt>
                <c:pt idx="15">
                  <c:v>-0.5161307609860657</c:v>
                </c:pt>
                <c:pt idx="16">
                  <c:v>-0.38269754768392339</c:v>
                </c:pt>
                <c:pt idx="17">
                  <c:v>-0.34219620958751307</c:v>
                </c:pt>
                <c:pt idx="18">
                  <c:v>-0.33369565217391184</c:v>
                </c:pt>
                <c:pt idx="19">
                  <c:v>-0.35618046971569761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14504"/>
        <c:axId val="81309808"/>
      </c:scatterChart>
      <c:valAx>
        <c:axId val="223014504"/>
        <c:scaling>
          <c:orientation val="minMax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 - GM Tube Angle (deg)</a:t>
                </a:r>
              </a:p>
            </c:rich>
          </c:tx>
          <c:layout>
            <c:manualLayout>
              <c:xMode val="edge"/>
              <c:yMode val="edge"/>
              <c:x val="0.27139473429667205"/>
              <c:y val="0.914046090236007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1309808"/>
        <c:crossesAt val="-100"/>
        <c:crossBetween val="midCat"/>
      </c:valAx>
      <c:valAx>
        <c:axId val="81309808"/>
        <c:scaling>
          <c:orientation val="minMax"/>
          <c:max val="80"/>
          <c:min val="-2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3014504"/>
        <c:crossesAt val="-100"/>
        <c:crossBetween val="midCat"/>
        <c:majorUnit val="20"/>
        <c:minorUnit val="2"/>
      </c:valAx>
    </c:plotArea>
    <c:plotVisOnly val="1"/>
    <c:dispBlanksAs val="gap"/>
    <c:showDLblsOverMax val="0"/>
  </c:chart>
  <c:printSettings>
    <c:headerFooter/>
    <c:pageMargins b="0.75000000000000311" l="0.70000000000000107" r="0.70000000000000107" t="0.750000000000003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2">
            <a:spAutoFit/>
          </a:bodyPr>
          <a:lstStyle/>
          <a:p>
            <a:pPr>
              <a:defRPr sz="1400"/>
            </a:pPr>
            <a:r>
              <a:rPr lang="en-US" sz="1400"/>
              <a:t>Tl-204 ((Counts/min)-Bkgd)/MeV for </a:t>
            </a:r>
            <a:br>
              <a:rPr lang="en-US" sz="1400"/>
            </a:br>
            <a:r>
              <a:rPr lang="en-US" sz="1400">
                <a:latin typeface="Symbol" pitchFamily="18" charset="2"/>
              </a:rPr>
              <a:t>D</a:t>
            </a:r>
            <a:r>
              <a:rPr lang="en-US" sz="1400" i="1">
                <a:latin typeface="Symbol" pitchFamily="18" charset="2"/>
              </a:rPr>
              <a:t>q</a:t>
            </a:r>
            <a:r>
              <a:rPr lang="en-US" sz="1400"/>
              <a:t> = 5°</a:t>
            </a:r>
          </a:p>
        </c:rich>
      </c:tx>
      <c:layout>
        <c:manualLayout>
          <c:xMode val="edge"/>
          <c:yMode val="edge"/>
          <c:x val="0.13216411502598899"/>
          <c:y val="2.04918098915096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91266610091701"/>
          <c:y val="0.16068035136825398"/>
          <c:w val="0.82371765566425903"/>
          <c:h val="0.648952137132210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xVal>
            <c:numRef>
              <c:f>'Tl-204'!$G$18:$G$29</c:f>
              <c:numCache>
                <c:formatCode>0.00</c:formatCode>
                <c:ptCount val="12"/>
                <c:pt idx="0">
                  <c:v>0.26802273663221038</c:v>
                </c:pt>
                <c:pt idx="1">
                  <c:v>0.30930475434438398</c:v>
                </c:pt>
                <c:pt idx="2">
                  <c:v>0.35590877077319627</c:v>
                </c:pt>
                <c:pt idx="3">
                  <c:v>0.40876134530940222</c:v>
                </c:pt>
                <c:pt idx="4">
                  <c:v>0.46904325058333007</c:v>
                </c:pt>
                <c:pt idx="5">
                  <c:v>0.5382797505768625</c:v>
                </c:pt>
                <c:pt idx="6">
                  <c:v>0.6184725682258746</c:v>
                </c:pt>
                <c:pt idx="7">
                  <c:v>0.71229786642501747</c:v>
                </c:pt>
                <c:pt idx="8">
                  <c:v>0.82341225520392236</c:v>
                </c:pt>
                <c:pt idx="9">
                  <c:v>0.9569424467790375</c:v>
                </c:pt>
                <c:pt idx="10">
                  <c:v>1.1203013982320613</c:v>
                </c:pt>
                <c:pt idx="11">
                  <c:v>1.3246166201445688</c:v>
                </c:pt>
              </c:numCache>
            </c:numRef>
          </c:xVal>
          <c:yVal>
            <c:numRef>
              <c:f>'Tl-204'!$I$18:$I$29</c:f>
              <c:numCache>
                <c:formatCode>0</c:formatCode>
                <c:ptCount val="12"/>
                <c:pt idx="0">
                  <c:v>1799.912390876952</c:v>
                </c:pt>
                <c:pt idx="1">
                  <c:v>1507.4930051886695</c:v>
                </c:pt>
                <c:pt idx="2">
                  <c:v>879.54988467903706</c:v>
                </c:pt>
                <c:pt idx="3">
                  <c:v>501.07934316787686</c:v>
                </c:pt>
                <c:pt idx="4">
                  <c:v>222.29824583113503</c:v>
                </c:pt>
                <c:pt idx="5">
                  <c:v>91.110697988737584</c:v>
                </c:pt>
                <c:pt idx="6">
                  <c:v>31.71710115493763</c:v>
                </c:pt>
                <c:pt idx="7">
                  <c:v>12.827051644119233</c:v>
                </c:pt>
                <c:pt idx="8" formatCode="0.0">
                  <c:v>1.5162114308990942</c:v>
                </c:pt>
                <c:pt idx="9" formatCode="0.0">
                  <c:v>-0.72858806016965016</c:v>
                </c:pt>
                <c:pt idx="10" formatCode="0.0">
                  <c:v>-2.0503145711610444</c:v>
                </c:pt>
                <c:pt idx="11" formatCode="0.0">
                  <c:v>-1.6138285079460568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71360"/>
        <c:axId val="163773712"/>
      </c:scatterChart>
      <c:valAx>
        <c:axId val="16377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Beta Particle </a:t>
                </a:r>
                <a:r>
                  <a:rPr lang="en-US" i="1"/>
                  <a:t>KE</a:t>
                </a:r>
                <a:r>
                  <a:rPr lang="en-US"/>
                  <a:t> (MeV)</a:t>
                </a:r>
              </a:p>
            </c:rich>
          </c:tx>
          <c:layout>
            <c:manualLayout>
              <c:xMode val="edge"/>
              <c:yMode val="edge"/>
              <c:x val="0.40838185625025708"/>
              <c:y val="0.9110917763573721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63773712"/>
        <c:crosses val="autoZero"/>
        <c:crossBetween val="midCat"/>
      </c:valAx>
      <c:valAx>
        <c:axId val="163773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3771360"/>
        <c:crosses val="autoZero"/>
        <c:crossBetween val="midCat"/>
        <c:majorUnit val="400"/>
      </c:valAx>
    </c:plotArea>
    <c:plotVisOnly val="1"/>
    <c:dispBlanksAs val="gap"/>
    <c:showDLblsOverMax val="0"/>
  </c:chart>
  <c:printSettings>
    <c:headerFooter/>
    <c:pageMargins b="0.75000000000000311" l="0.70000000000000107" r="0.70000000000000107" t="0.75000000000000311" header="0.30000000000000004" footer="0.30000000000000004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Na-22 [CR (</a:t>
            </a:r>
            <a:r>
              <a:rPr lang="en-US" i="1">
                <a:sym typeface="Symbol"/>
              </a:rPr>
              <a:t></a:t>
            </a:r>
            <a:r>
              <a:rPr lang="en-US">
                <a:sym typeface="Symbol"/>
              </a:rPr>
              <a:t>) - CR(-</a:t>
            </a:r>
            <a:r>
              <a:rPr lang="en-US" i="1">
                <a:sym typeface="Symbol"/>
              </a:rPr>
              <a:t></a:t>
            </a:r>
            <a:r>
              <a:rPr lang="en-US">
                <a:sym typeface="Symbol"/>
              </a:rPr>
              <a:t>)]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'Na-22'!$A$17:$A$37</c:f>
              <c:numCache>
                <c:formatCode>General</c:formatCode>
                <c:ptCount val="21"/>
                <c:pt idx="0">
                  <c:v>100</c:v>
                </c:pt>
                <c:pt idx="1">
                  <c:v>95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65</c:v>
                </c:pt>
                <c:pt idx="8">
                  <c:v>60</c:v>
                </c:pt>
                <c:pt idx="9">
                  <c:v>55</c:v>
                </c:pt>
                <c:pt idx="10">
                  <c:v>50</c:v>
                </c:pt>
                <c:pt idx="11">
                  <c:v>45</c:v>
                </c:pt>
                <c:pt idx="12">
                  <c:v>40</c:v>
                </c:pt>
                <c:pt idx="13">
                  <c:v>35</c:v>
                </c:pt>
                <c:pt idx="14">
                  <c:v>30</c:v>
                </c:pt>
                <c:pt idx="15">
                  <c:v>25</c:v>
                </c:pt>
                <c:pt idx="16">
                  <c:v>20</c:v>
                </c:pt>
                <c:pt idx="17">
                  <c:v>15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</c:numCache>
            </c:numRef>
          </c:xVal>
          <c:yVal>
            <c:numRef>
              <c:f>'Na-22'!$G$17:$G$37</c:f>
              <c:numCache>
                <c:formatCode>0.00</c:formatCode>
                <c:ptCount val="21"/>
                <c:pt idx="0">
                  <c:v>60.889175790126018</c:v>
                </c:pt>
                <c:pt idx="1">
                  <c:v>30.819522989918852</c:v>
                </c:pt>
                <c:pt idx="2">
                  <c:v>19.028453608247432</c:v>
                </c:pt>
                <c:pt idx="3">
                  <c:v>16.117346938775498</c:v>
                </c:pt>
                <c:pt idx="4">
                  <c:v>-2.9425517241379424</c:v>
                </c:pt>
                <c:pt idx="5">
                  <c:v>1.140862495581473</c:v>
                </c:pt>
                <c:pt idx="6">
                  <c:v>-1.890844750930043</c:v>
                </c:pt>
                <c:pt idx="7">
                  <c:v>2.5108082706766908</c:v>
                </c:pt>
                <c:pt idx="8">
                  <c:v>0.30215827338129486</c:v>
                </c:pt>
                <c:pt idx="9">
                  <c:v>2.0652582159624444</c:v>
                </c:pt>
                <c:pt idx="10">
                  <c:v>-1.0611325611325668</c:v>
                </c:pt>
                <c:pt idx="11">
                  <c:v>8.9370513842998776</c:v>
                </c:pt>
                <c:pt idx="12">
                  <c:v>16.106666666666669</c:v>
                </c:pt>
                <c:pt idx="13">
                  <c:v>4.1747766122766166</c:v>
                </c:pt>
                <c:pt idx="14">
                  <c:v>-3.6815252416756152</c:v>
                </c:pt>
                <c:pt idx="15">
                  <c:v>0.55708502024292272</c:v>
                </c:pt>
                <c:pt idx="16">
                  <c:v>-1.8978605935127604</c:v>
                </c:pt>
                <c:pt idx="17">
                  <c:v>3.0019379844961236</c:v>
                </c:pt>
                <c:pt idx="18">
                  <c:v>2.6536223158739745</c:v>
                </c:pt>
                <c:pt idx="19">
                  <c:v>0.95244755244755197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76456"/>
        <c:axId val="163774496"/>
      </c:scatterChart>
      <c:valAx>
        <c:axId val="163776456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 - GM tube angle (deg)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774496"/>
        <c:crosses val="autoZero"/>
        <c:crossBetween val="midCat"/>
      </c:valAx>
      <c:valAx>
        <c:axId val="163774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CR(</a:t>
                </a:r>
                <a:r>
                  <a:rPr lang="en-US">
                    <a:latin typeface="Symbol" pitchFamily="18" charset="2"/>
                  </a:rPr>
                  <a:t>q</a:t>
                </a:r>
                <a:r>
                  <a:rPr lang="en-US"/>
                  <a:t>) - CR(-</a:t>
                </a:r>
                <a:r>
                  <a:rPr lang="en-US">
                    <a:latin typeface="Symbol" pitchFamily="18" charset="2"/>
                  </a:rPr>
                  <a:t>q</a:t>
                </a:r>
                <a:r>
                  <a:rPr lang="en-US"/>
                  <a:t>)    CR = counts/min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3776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11" l="0.70000000000000107" r="0.70000000000000107" t="0.750000000000001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Na-22  (CR(</a:t>
            </a:r>
            <a:r>
              <a:rPr lang="en-US" sz="1600" i="1">
                <a:latin typeface="Symbol" pitchFamily="18" charset="2"/>
              </a:rPr>
              <a:t>q</a:t>
            </a:r>
            <a:r>
              <a:rPr lang="en-US" sz="1600"/>
              <a:t>)</a:t>
            </a:r>
            <a:r>
              <a:rPr lang="en-US" sz="1600" baseline="0"/>
              <a:t> - CR(-</a:t>
            </a:r>
            <a:r>
              <a:rPr lang="en-US" sz="1600" i="1" baseline="0">
                <a:latin typeface="Symbol" pitchFamily="18" charset="2"/>
              </a:rPr>
              <a:t>q</a:t>
            </a:r>
            <a:r>
              <a:rPr lang="en-US" sz="1600" baseline="0"/>
              <a:t>))/MeV for </a:t>
            </a:r>
            <a:r>
              <a:rPr lang="en-US" sz="1600" baseline="0">
                <a:latin typeface="Symbol" pitchFamily="18" charset="2"/>
              </a:rPr>
              <a:t>Dq</a:t>
            </a:r>
            <a:r>
              <a:rPr lang="en-US" sz="1600" baseline="0"/>
              <a:t> = 5°</a:t>
            </a:r>
            <a:r>
              <a:rPr lang="en-US" sz="1600"/>
              <a:t>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'Na-22'!$I$18:$I$31</c:f>
              <c:numCache>
                <c:formatCode>0.00</c:formatCode>
                <c:ptCount val="14"/>
                <c:pt idx="0">
                  <c:v>0.26802273663221038</c:v>
                </c:pt>
                <c:pt idx="1">
                  <c:v>0.30930475434438398</c:v>
                </c:pt>
                <c:pt idx="2">
                  <c:v>0.35590877077319627</c:v>
                </c:pt>
                <c:pt idx="3">
                  <c:v>0.40876134530940222</c:v>
                </c:pt>
                <c:pt idx="4">
                  <c:v>0.46904325058333007</c:v>
                </c:pt>
                <c:pt idx="5">
                  <c:v>0.5382797505768625</c:v>
                </c:pt>
                <c:pt idx="6">
                  <c:v>0.6184725682258746</c:v>
                </c:pt>
                <c:pt idx="7">
                  <c:v>0.71229786642501747</c:v>
                </c:pt>
                <c:pt idx="8">
                  <c:v>0.82341225520392236</c:v>
                </c:pt>
                <c:pt idx="9">
                  <c:v>0.9569424467790375</c:v>
                </c:pt>
                <c:pt idx="10">
                  <c:v>1.1203013982320613</c:v>
                </c:pt>
                <c:pt idx="11">
                  <c:v>1.3246166201445688</c:v>
                </c:pt>
                <c:pt idx="12">
                  <c:v>1.5873828179673266</c:v>
                </c:pt>
                <c:pt idx="13">
                  <c:v>1.9377672543255851</c:v>
                </c:pt>
              </c:numCache>
            </c:numRef>
          </c:xVal>
          <c:yVal>
            <c:numRef>
              <c:f>'Na-22'!$K$18:$K$31</c:f>
              <c:numCache>
                <c:formatCode>0</c:formatCode>
                <c:ptCount val="14"/>
                <c:pt idx="0">
                  <c:v>839.87088307180875</c:v>
                </c:pt>
                <c:pt idx="1">
                  <c:v>460.93807092757862</c:v>
                </c:pt>
                <c:pt idx="2">
                  <c:v>345.83600671832164</c:v>
                </c:pt>
                <c:pt idx="3">
                  <c:v>-55.674709320398129</c:v>
                </c:pt>
                <c:pt idx="4">
                  <c:v>18.92545516597831</c:v>
                </c:pt>
                <c:pt idx="5">
                  <c:v>-27.309941304177304</c:v>
                </c:pt>
                <c:pt idx="6">
                  <c:v>31.309640243169856</c:v>
                </c:pt>
                <c:pt idx="7">
                  <c:v>3.2204349912106669</c:v>
                </c:pt>
                <c:pt idx="8">
                  <c:v>18.586775652178492</c:v>
                </c:pt>
                <c:pt idx="9">
                  <c:v>-7.9467613175380247</c:v>
                </c:pt>
                <c:pt idx="10">
                  <c:v>54.708060408124332</c:v>
                </c:pt>
                <c:pt idx="11">
                  <c:v>78.832436055909312</c:v>
                </c:pt>
                <c:pt idx="12">
                  <c:v>15.887799294080455</c:v>
                </c:pt>
                <c:pt idx="13">
                  <c:v>-10.507102655414057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76064"/>
        <c:axId val="163769008"/>
      </c:scatterChart>
      <c:valAx>
        <c:axId val="163776064"/>
        <c:scaling>
          <c:orientation val="minMax"/>
          <c:max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Beta Particle </a:t>
                </a:r>
                <a:r>
                  <a:rPr lang="en-US" i="1"/>
                  <a:t>KE</a:t>
                </a:r>
                <a:r>
                  <a:rPr lang="en-US"/>
                  <a:t> (MeV)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3769008"/>
        <c:crosses val="autoZero"/>
        <c:crossBetween val="midCat"/>
      </c:valAx>
      <c:valAx>
        <c:axId val="163769008"/>
        <c:scaling>
          <c:orientation val="minMax"/>
          <c:min val="-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3776064"/>
        <c:crosses val="autoZero"/>
        <c:crossBetween val="midCat"/>
        <c:majorUnit val="200"/>
      </c:valAx>
    </c:plotArea>
    <c:plotVisOnly val="1"/>
    <c:dispBlanksAs val="gap"/>
    <c:showDLblsOverMax val="0"/>
  </c:chart>
  <c:printSettings>
    <c:headerFooter/>
    <c:pageMargins b="0.75000000000000111" l="0.70000000000000107" r="0.70000000000000107" t="0.75000000000000111" header="0.30000000000000004" footer="0.30000000000000004"/>
    <c:pageSetup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Sr-90 ((Counts/min) - Bkgd)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xVal>
            <c:numRef>
              <c:f>'Sr-90'!$A$17:$A$37</c:f>
              <c:numCache>
                <c:formatCode>General</c:formatCode>
                <c:ptCount val="21"/>
                <c:pt idx="0">
                  <c:v>-100</c:v>
                </c:pt>
                <c:pt idx="1">
                  <c:v>-95</c:v>
                </c:pt>
                <c:pt idx="2">
                  <c:v>-90</c:v>
                </c:pt>
                <c:pt idx="3">
                  <c:v>-85</c:v>
                </c:pt>
                <c:pt idx="4">
                  <c:v>-80</c:v>
                </c:pt>
                <c:pt idx="5">
                  <c:v>-75</c:v>
                </c:pt>
                <c:pt idx="6">
                  <c:v>-70</c:v>
                </c:pt>
                <c:pt idx="7">
                  <c:v>-65</c:v>
                </c:pt>
                <c:pt idx="8">
                  <c:v>-60</c:v>
                </c:pt>
                <c:pt idx="9">
                  <c:v>-55</c:v>
                </c:pt>
                <c:pt idx="10">
                  <c:v>-50</c:v>
                </c:pt>
                <c:pt idx="11">
                  <c:v>-45</c:v>
                </c:pt>
                <c:pt idx="12">
                  <c:v>-40</c:v>
                </c:pt>
                <c:pt idx="13">
                  <c:v>-35</c:v>
                </c:pt>
                <c:pt idx="14">
                  <c:v>-30</c:v>
                </c:pt>
                <c:pt idx="15">
                  <c:v>-25</c:v>
                </c:pt>
                <c:pt idx="16">
                  <c:v>-20</c:v>
                </c:pt>
                <c:pt idx="17">
                  <c:v>-15</c:v>
                </c:pt>
                <c:pt idx="18">
                  <c:v>-10</c:v>
                </c:pt>
                <c:pt idx="19">
                  <c:v>-5</c:v>
                </c:pt>
                <c:pt idx="20">
                  <c:v>0</c:v>
                </c:pt>
              </c:numCache>
            </c:numRef>
          </c:xVal>
          <c:yVal>
            <c:numRef>
              <c:f>'Sr-90'!$E$17:$E$37</c:f>
              <c:numCache>
                <c:formatCode>0.00</c:formatCode>
                <c:ptCount val="21"/>
                <c:pt idx="0">
                  <c:v>40.497570850202422</c:v>
                </c:pt>
                <c:pt idx="1">
                  <c:v>39.946376811594206</c:v>
                </c:pt>
                <c:pt idx="2">
                  <c:v>40.306194690265485</c:v>
                </c:pt>
                <c:pt idx="3">
                  <c:v>46.837362637362631</c:v>
                </c:pt>
                <c:pt idx="4">
                  <c:v>42.534170854271352</c:v>
                </c:pt>
                <c:pt idx="5">
                  <c:v>50.185380116959067</c:v>
                </c:pt>
                <c:pt idx="6">
                  <c:v>56.328048780487805</c:v>
                </c:pt>
                <c:pt idx="7">
                  <c:v>60.868975069252087</c:v>
                </c:pt>
                <c:pt idx="8">
                  <c:v>61.623529411764707</c:v>
                </c:pt>
                <c:pt idx="9">
                  <c:v>64.695850622406638</c:v>
                </c:pt>
                <c:pt idx="10">
                  <c:v>62.68615916955018</c:v>
                </c:pt>
                <c:pt idx="11">
                  <c:v>59.223560209424093</c:v>
                </c:pt>
                <c:pt idx="12">
                  <c:v>50.646188340807171</c:v>
                </c:pt>
                <c:pt idx="13">
                  <c:v>35.985992217898826</c:v>
                </c:pt>
                <c:pt idx="14">
                  <c:v>26.292233009708735</c:v>
                </c:pt>
                <c:pt idx="15">
                  <c:v>15.715945330296126</c:v>
                </c:pt>
                <c:pt idx="16">
                  <c:v>10.132712215320911</c:v>
                </c:pt>
                <c:pt idx="17">
                  <c:v>4.2653021442495103</c:v>
                </c:pt>
                <c:pt idx="18">
                  <c:v>2.4860915492957734</c:v>
                </c:pt>
                <c:pt idx="19">
                  <c:v>1.196083550913837</c:v>
                </c:pt>
                <c:pt idx="20">
                  <c:v>1.1475853945818599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70184"/>
        <c:axId val="163770576"/>
      </c:scatterChart>
      <c:valAx>
        <c:axId val="163770184"/>
        <c:scaling>
          <c:orientation val="minMax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 - GM Tube Angle (deg)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770576"/>
        <c:crosses val="autoZero"/>
        <c:crossBetween val="midCat"/>
      </c:valAx>
      <c:valAx>
        <c:axId val="163770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770184"/>
        <c:crossesAt val="-100"/>
        <c:crossBetween val="midCat"/>
      </c:valAx>
    </c:plotArea>
    <c:plotVisOnly val="1"/>
    <c:dispBlanksAs val="gap"/>
    <c:showDLblsOverMax val="0"/>
  </c:chart>
  <c:printSettings>
    <c:headerFooter/>
    <c:pageMargins b="0.75000000000000311" l="0.70000000000000107" r="0.70000000000000107" t="0.750000000000003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Sr-90 ((Counts/min) - Bkgd)/MeV for </a:t>
            </a:r>
            <a:r>
              <a:rPr lang="en-US" sz="1400">
                <a:latin typeface="Symbol" pitchFamily="18" charset="2"/>
              </a:rPr>
              <a:t>D</a:t>
            </a:r>
            <a:r>
              <a:rPr lang="en-US" sz="1400" i="1">
                <a:latin typeface="Symbol" pitchFamily="18" charset="2"/>
              </a:rPr>
              <a:t>q</a:t>
            </a:r>
            <a:r>
              <a:rPr lang="en-US" sz="1400"/>
              <a:t> = 5°</a:t>
            </a:r>
          </a:p>
        </c:rich>
      </c:tx>
      <c:layout>
        <c:manualLayout>
          <c:xMode val="edge"/>
          <c:yMode val="edge"/>
          <c:x val="0.18711111111111203"/>
          <c:y val="1.91386469301037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66185476815649E-2"/>
          <c:y val="0.12394034659779699"/>
          <c:w val="0.8321644794400701"/>
          <c:h val="0.7270863909728468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xVal>
            <c:numRef>
              <c:f>'Sr-90'!$G$18:$G$34</c:f>
              <c:numCache>
                <c:formatCode>0.00</c:formatCode>
                <c:ptCount val="17"/>
                <c:pt idx="0">
                  <c:v>0.26802273663221038</c:v>
                </c:pt>
                <c:pt idx="1">
                  <c:v>0.30930475434438398</c:v>
                </c:pt>
                <c:pt idx="2">
                  <c:v>0.35590877077319627</c:v>
                </c:pt>
                <c:pt idx="3">
                  <c:v>0.40876134530940222</c:v>
                </c:pt>
                <c:pt idx="4">
                  <c:v>0.46904325058333007</c:v>
                </c:pt>
                <c:pt idx="5">
                  <c:v>0.5382797505768625</c:v>
                </c:pt>
                <c:pt idx="6">
                  <c:v>0.6184725682258746</c:v>
                </c:pt>
                <c:pt idx="7">
                  <c:v>0.71229786642501747</c:v>
                </c:pt>
                <c:pt idx="8">
                  <c:v>0.82341225520392236</c:v>
                </c:pt>
                <c:pt idx="9">
                  <c:v>0.9569424467790375</c:v>
                </c:pt>
                <c:pt idx="10">
                  <c:v>1.1203013982320613</c:v>
                </c:pt>
                <c:pt idx="11">
                  <c:v>1.3246166201445688</c:v>
                </c:pt>
                <c:pt idx="12">
                  <c:v>1.5873828179673266</c:v>
                </c:pt>
                <c:pt idx="13">
                  <c:v>1.9377672543255851</c:v>
                </c:pt>
                <c:pt idx="14">
                  <c:v>2.4282816407744003</c:v>
                </c:pt>
                <c:pt idx="15">
                  <c:v>3.1639619838959154</c:v>
                </c:pt>
                <c:pt idx="16">
                  <c:v>4.3899082765526005</c:v>
                </c:pt>
              </c:numCache>
            </c:numRef>
          </c:xVal>
          <c:yVal>
            <c:numRef>
              <c:f>'Sr-90'!$I$18:$I$34</c:f>
              <c:numCache>
                <c:formatCode>0</c:formatCode>
                <c:ptCount val="17"/>
                <c:pt idx="0">
                  <c:v>1088.5891640583495</c:v>
                </c:pt>
                <c:pt idx="1">
                  <c:v>976.36203180009886</c:v>
                </c:pt>
                <c:pt idx="2">
                  <c:v>1005.0069978175975</c:v>
                </c:pt>
                <c:pt idx="3">
                  <c:v>804.77008409749055</c:v>
                </c:pt>
                <c:pt idx="4">
                  <c:v>832.51151218447694</c:v>
                </c:pt>
                <c:pt idx="5">
                  <c:v>813.56002665862025</c:v>
                </c:pt>
                <c:pt idx="6">
                  <c:v>759.03275198114875</c:v>
                </c:pt>
                <c:pt idx="7">
                  <c:v>656.79012584611917</c:v>
                </c:pt>
                <c:pt idx="8">
                  <c:v>582.24547993634076</c:v>
                </c:pt>
                <c:pt idx="9">
                  <c:v>469.45307596812023</c:v>
                </c:pt>
                <c:pt idx="10">
                  <c:v>362.53636352737408</c:v>
                </c:pt>
                <c:pt idx="11">
                  <c:v>247.88259957691767</c:v>
                </c:pt>
                <c:pt idx="12">
                  <c:v>136.95061433347777</c:v>
                </c:pt>
                <c:pt idx="13">
                  <c:v>75.038244515020779</c:v>
                </c:pt>
                <c:pt idx="14">
                  <c:v>32.039723532015245</c:v>
                </c:pt>
                <c:pt idx="15">
                  <c:v>13.773253981923034</c:v>
                </c:pt>
                <c:pt idx="16">
                  <c:v>3.4791916822117823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68376"/>
        <c:axId val="223064848"/>
      </c:scatterChart>
      <c:valAx>
        <c:axId val="223068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Beta Particle KE (MeV)</a:t>
                </a:r>
              </a:p>
            </c:rich>
          </c:tx>
          <c:layout>
            <c:manualLayout>
              <c:xMode val="edge"/>
              <c:yMode val="edge"/>
              <c:x val="0.37110520559930005"/>
              <c:y val="0.95009995575033501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223064848"/>
        <c:crosses val="autoZero"/>
        <c:crossBetween val="midCat"/>
      </c:valAx>
      <c:valAx>
        <c:axId val="223064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3068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311" l="0.70000000000000107" r="0.70000000000000107" t="0.75000000000000311" header="0.30000000000000004" footer="0.30000000000000004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CS-137 + Ba-137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'Cs-137'!$A$17:$A$36</c:f>
              <c:numCache>
                <c:formatCode>General</c:formatCode>
                <c:ptCount val="20"/>
                <c:pt idx="0">
                  <c:v>-100</c:v>
                </c:pt>
                <c:pt idx="1">
                  <c:v>-95</c:v>
                </c:pt>
                <c:pt idx="2">
                  <c:v>-90</c:v>
                </c:pt>
                <c:pt idx="3">
                  <c:v>-85</c:v>
                </c:pt>
                <c:pt idx="4">
                  <c:v>-80</c:v>
                </c:pt>
                <c:pt idx="5">
                  <c:v>-75</c:v>
                </c:pt>
                <c:pt idx="6">
                  <c:v>-70</c:v>
                </c:pt>
                <c:pt idx="7">
                  <c:v>-65</c:v>
                </c:pt>
                <c:pt idx="8">
                  <c:v>-60</c:v>
                </c:pt>
                <c:pt idx="9">
                  <c:v>-55</c:v>
                </c:pt>
                <c:pt idx="10">
                  <c:v>-50</c:v>
                </c:pt>
                <c:pt idx="11">
                  <c:v>-45</c:v>
                </c:pt>
                <c:pt idx="12">
                  <c:v>-40</c:v>
                </c:pt>
                <c:pt idx="13">
                  <c:v>-35</c:v>
                </c:pt>
                <c:pt idx="14">
                  <c:v>-30</c:v>
                </c:pt>
                <c:pt idx="15">
                  <c:v>-25</c:v>
                </c:pt>
                <c:pt idx="16">
                  <c:v>-20</c:v>
                </c:pt>
                <c:pt idx="17">
                  <c:v>-15</c:v>
                </c:pt>
                <c:pt idx="18">
                  <c:v>-10</c:v>
                </c:pt>
                <c:pt idx="19">
                  <c:v>-5</c:v>
                </c:pt>
              </c:numCache>
            </c:numRef>
          </c:xVal>
          <c:yVal>
            <c:numRef>
              <c:f>'Cs-137'!$G$17:$G$36</c:f>
              <c:numCache>
                <c:formatCode>0.00</c:formatCode>
                <c:ptCount val="20"/>
                <c:pt idx="0">
                  <c:v>179.32227272727278</c:v>
                </c:pt>
                <c:pt idx="1">
                  <c:v>232.30642570281125</c:v>
                </c:pt>
                <c:pt idx="2">
                  <c:v>272.25764411027569</c:v>
                </c:pt>
                <c:pt idx="3">
                  <c:v>282.45360134003352</c:v>
                </c:pt>
                <c:pt idx="4">
                  <c:v>229.8151581243184</c:v>
                </c:pt>
                <c:pt idx="5">
                  <c:v>131.79928239763615</c:v>
                </c:pt>
                <c:pt idx="6">
                  <c:v>75.373543123543129</c:v>
                </c:pt>
                <c:pt idx="7">
                  <c:v>31.723495212038301</c:v>
                </c:pt>
                <c:pt idx="8">
                  <c:v>21.548853439680954</c:v>
                </c:pt>
                <c:pt idx="9">
                  <c:v>7.0888888888888886</c:v>
                </c:pt>
                <c:pt idx="10">
                  <c:v>5.0933443800055329</c:v>
                </c:pt>
                <c:pt idx="11">
                  <c:v>3.1114316624594238</c:v>
                </c:pt>
                <c:pt idx="12">
                  <c:v>2.0441381230854887</c:v>
                </c:pt>
                <c:pt idx="13">
                  <c:v>1.5997701149425296</c:v>
                </c:pt>
                <c:pt idx="14">
                  <c:v>1.3602040816326451</c:v>
                </c:pt>
                <c:pt idx="15">
                  <c:v>0.72815230961298028</c:v>
                </c:pt>
                <c:pt idx="16">
                  <c:v>-2.4075564498099737</c:v>
                </c:pt>
                <c:pt idx="17">
                  <c:v>-1.5438906562978616</c:v>
                </c:pt>
                <c:pt idx="18">
                  <c:v>-1.0059259259259363</c:v>
                </c:pt>
                <c:pt idx="19">
                  <c:v>-2.8242157116930287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61712"/>
        <c:axId val="223067984"/>
      </c:scatterChart>
      <c:valAx>
        <c:axId val="223061712"/>
        <c:scaling>
          <c:orientation val="minMax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 - GM tube angle (deg)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3067984"/>
        <c:crosses val="autoZero"/>
        <c:crossBetween val="midCat"/>
      </c:valAx>
      <c:valAx>
        <c:axId val="223067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CR(</a:t>
                </a:r>
                <a:r>
                  <a:rPr lang="en-US">
                    <a:latin typeface="Symbol" pitchFamily="18" charset="2"/>
                  </a:rPr>
                  <a:t>q</a:t>
                </a:r>
                <a:r>
                  <a:rPr lang="en-US"/>
                  <a:t>) - CR(-</a:t>
                </a:r>
                <a:r>
                  <a:rPr lang="en-US">
                    <a:latin typeface="Symbol" pitchFamily="18" charset="2"/>
                  </a:rPr>
                  <a:t>q</a:t>
                </a:r>
                <a:r>
                  <a:rPr lang="en-US"/>
                  <a:t>) CR = counts/min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3061712"/>
        <c:crossesAt val="-100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111" l="0.70000000000000107" r="0.70000000000000107" t="0.75000000000000111" header="0.30000000000000004" footer="0.30000000000000004"/>
    <c:pageSetup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Cs-137 + Ba-137  (CR(</a:t>
            </a:r>
            <a:r>
              <a:rPr lang="en-US" sz="1600" i="1">
                <a:latin typeface="Symbol" pitchFamily="18" charset="2"/>
              </a:rPr>
              <a:t>q</a:t>
            </a:r>
            <a:r>
              <a:rPr lang="en-US" sz="1600"/>
              <a:t>) - CR(-</a:t>
            </a:r>
            <a:r>
              <a:rPr lang="en-US" sz="1600" i="1">
                <a:latin typeface="Symbol" pitchFamily="18" charset="2"/>
              </a:rPr>
              <a:t>q</a:t>
            </a:r>
            <a:r>
              <a:rPr lang="en-US" sz="1600"/>
              <a:t>))/MeV for </a:t>
            </a:r>
            <a:r>
              <a:rPr lang="en-US" sz="1600">
                <a:latin typeface="Symbol" pitchFamily="18" charset="2"/>
              </a:rPr>
              <a:t>D</a:t>
            </a:r>
            <a:r>
              <a:rPr lang="en-US" sz="1600" i="1">
                <a:latin typeface="Symbol" pitchFamily="18" charset="2"/>
              </a:rPr>
              <a:t>q</a:t>
            </a:r>
            <a:r>
              <a:rPr lang="en-US" sz="1600"/>
              <a:t> = 5°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'Cs-137'!$I$18:$I$32</c:f>
              <c:numCache>
                <c:formatCode>0.00</c:formatCode>
                <c:ptCount val="15"/>
                <c:pt idx="0">
                  <c:v>0.26802273663221038</c:v>
                </c:pt>
                <c:pt idx="1">
                  <c:v>0.30930475434438398</c:v>
                </c:pt>
                <c:pt idx="2">
                  <c:v>0.35590877077319627</c:v>
                </c:pt>
                <c:pt idx="3">
                  <c:v>0.40876134530940222</c:v>
                </c:pt>
                <c:pt idx="4">
                  <c:v>0.46904325058333007</c:v>
                </c:pt>
                <c:pt idx="5">
                  <c:v>0.5382797505768625</c:v>
                </c:pt>
                <c:pt idx="6">
                  <c:v>0.6184725682258746</c:v>
                </c:pt>
                <c:pt idx="7">
                  <c:v>0.71229786642501747</c:v>
                </c:pt>
                <c:pt idx="8">
                  <c:v>0.82341225520392236</c:v>
                </c:pt>
                <c:pt idx="9">
                  <c:v>0.9569424467790375</c:v>
                </c:pt>
                <c:pt idx="10">
                  <c:v>1.1203013982320613</c:v>
                </c:pt>
                <c:pt idx="11">
                  <c:v>1.3246166201445688</c:v>
                </c:pt>
                <c:pt idx="12">
                  <c:v>1.5873828179673266</c:v>
                </c:pt>
                <c:pt idx="13">
                  <c:v>1.9377672543255851</c:v>
                </c:pt>
                <c:pt idx="14">
                  <c:v>2.4282816407744003</c:v>
                </c:pt>
              </c:numCache>
            </c:numRef>
          </c:xVal>
          <c:yVal>
            <c:numRef>
              <c:f>'Cs-137'!$K$18:$K$32</c:f>
              <c:numCache>
                <c:formatCode>0</c:formatCode>
                <c:ptCount val="15"/>
                <c:pt idx="0">
                  <c:v>6330.6431758238359</c:v>
                </c:pt>
                <c:pt idx="1">
                  <c:v>6595.0663072844418</c:v>
                </c:pt>
                <c:pt idx="2">
                  <c:v>6060.7137106193804</c:v>
                </c:pt>
                <c:pt idx="3">
                  <c:v>4348.2301503947847</c:v>
                </c:pt>
                <c:pt idx="4">
                  <c:v>2186.3821622545802</c:v>
                </c:pt>
                <c:pt idx="5">
                  <c:v>1088.6388412265781</c:v>
                </c:pt>
                <c:pt idx="6">
                  <c:v>395.59023042294996</c:v>
                </c:pt>
                <c:pt idx="7">
                  <c:v>229.66997018164352</c:v>
                </c:pt>
                <c:pt idx="8">
                  <c:v>63.798118018669392</c:v>
                </c:pt>
                <c:pt idx="9">
                  <c:v>38.143765989733929</c:v>
                </c:pt>
                <c:pt idx="10">
                  <c:v>19.046594231808349</c:v>
                </c:pt>
                <c:pt idx="11">
                  <c:v>10.004825406306907</c:v>
                </c:pt>
                <c:pt idx="12">
                  <c:v>6.088188390279992</c:v>
                </c:pt>
                <c:pt idx="13">
                  <c:v>3.8820333910090512</c:v>
                </c:pt>
                <c:pt idx="14">
                  <c:v>1.484466775550858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69160"/>
        <c:axId val="223062104"/>
      </c:scatterChart>
      <c:valAx>
        <c:axId val="223069160"/>
        <c:scaling>
          <c:orientation val="minMax"/>
          <c:max val="2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Beta Particle </a:t>
                </a:r>
                <a:r>
                  <a:rPr lang="en-US" i="1"/>
                  <a:t>KE</a:t>
                </a:r>
                <a:r>
                  <a:rPr lang="en-US"/>
                  <a:t> (MeV)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3062104"/>
        <c:crosses val="autoZero"/>
        <c:crossBetween val="midCat"/>
      </c:valAx>
      <c:valAx>
        <c:axId val="2230621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3069160"/>
        <c:crosses val="autoZero"/>
        <c:crossBetween val="midCat"/>
        <c:majorUnit val="2000"/>
      </c:valAx>
    </c:plotArea>
    <c:plotVisOnly val="1"/>
    <c:dispBlanksAs val="gap"/>
    <c:showDLblsOverMax val="0"/>
  </c:chart>
  <c:printSettings>
    <c:headerFooter/>
    <c:pageMargins b="0.75000000000000111" l="0.70000000000000107" r="0.70000000000000107" t="0.75000000000000111" header="0.30000000000000004" footer="0.30000000000000004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25 mm GM Tube Plateau</a:t>
            </a:r>
          </a:p>
        </c:rich>
      </c:tx>
      <c:layout>
        <c:manualLayout>
          <c:xMode val="edge"/>
          <c:yMode val="edge"/>
          <c:x val="0.26576533488869397"/>
          <c:y val="2.777777777777790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xVal>
            <c:numRef>
              <c:f>'[1]25 mm Spec. Tech. tube'!$A$13:$A$28</c:f>
              <c:numCache>
                <c:formatCode>General</c:formatCode>
                <c:ptCount val="16"/>
                <c:pt idx="0">
                  <c:v>820</c:v>
                </c:pt>
                <c:pt idx="1">
                  <c:v>840</c:v>
                </c:pt>
                <c:pt idx="2">
                  <c:v>860</c:v>
                </c:pt>
                <c:pt idx="3">
                  <c:v>880</c:v>
                </c:pt>
                <c:pt idx="4">
                  <c:v>900</c:v>
                </c:pt>
                <c:pt idx="5">
                  <c:v>920</c:v>
                </c:pt>
                <c:pt idx="6">
                  <c:v>940</c:v>
                </c:pt>
                <c:pt idx="7">
                  <c:v>960</c:v>
                </c:pt>
                <c:pt idx="8">
                  <c:v>980</c:v>
                </c:pt>
                <c:pt idx="9">
                  <c:v>1000</c:v>
                </c:pt>
                <c:pt idx="10">
                  <c:v>1020</c:v>
                </c:pt>
                <c:pt idx="11">
                  <c:v>1040</c:v>
                </c:pt>
                <c:pt idx="12">
                  <c:v>1060</c:v>
                </c:pt>
                <c:pt idx="13">
                  <c:v>1080</c:v>
                </c:pt>
                <c:pt idx="14">
                  <c:v>1100</c:v>
                </c:pt>
                <c:pt idx="15">
                  <c:v>1120</c:v>
                </c:pt>
              </c:numCache>
            </c:numRef>
          </c:xVal>
          <c:yVal>
            <c:numRef>
              <c:f>'[1]25 mm Spec. Tech. tube'!$F$13:$F$29</c:f>
              <c:numCache>
                <c:formatCode>General</c:formatCode>
                <c:ptCount val="17"/>
                <c:pt idx="0">
                  <c:v>0</c:v>
                </c:pt>
                <c:pt idx="1">
                  <c:v>7838.5</c:v>
                </c:pt>
                <c:pt idx="2">
                  <c:v>15574</c:v>
                </c:pt>
                <c:pt idx="3">
                  <c:v>16403.666666666668</c:v>
                </c:pt>
                <c:pt idx="4">
                  <c:v>16869.666666666668</c:v>
                </c:pt>
                <c:pt idx="5">
                  <c:v>17469.666666666668</c:v>
                </c:pt>
                <c:pt idx="6">
                  <c:v>17636.333333333332</c:v>
                </c:pt>
                <c:pt idx="7">
                  <c:v>18038</c:v>
                </c:pt>
                <c:pt idx="8">
                  <c:v>18272.333333333332</c:v>
                </c:pt>
                <c:pt idx="9">
                  <c:v>18493</c:v>
                </c:pt>
                <c:pt idx="10">
                  <c:v>18682</c:v>
                </c:pt>
                <c:pt idx="11">
                  <c:v>19095</c:v>
                </c:pt>
                <c:pt idx="12">
                  <c:v>19379</c:v>
                </c:pt>
                <c:pt idx="13">
                  <c:v>19762</c:v>
                </c:pt>
                <c:pt idx="14">
                  <c:v>20025</c:v>
                </c:pt>
                <c:pt idx="15">
                  <c:v>20105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62496"/>
        <c:axId val="223067592"/>
      </c:scatterChart>
      <c:valAx>
        <c:axId val="223062496"/>
        <c:scaling>
          <c:orientation val="minMax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Tube Voltage (V)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3067592"/>
        <c:crosses val="autoZero"/>
        <c:crossBetween val="midCat"/>
        <c:majorUnit val="100"/>
      </c:valAx>
      <c:valAx>
        <c:axId val="223067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Counts/0.5 min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3062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11" l="0.70000000000000107" r="0.70000000000000107" t="0.75000000000000211" header="0.30000000000000004" footer="0.30000000000000004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55</xdr:row>
      <xdr:rowOff>73025</xdr:rowOff>
    </xdr:from>
    <xdr:to>
      <xdr:col>8</xdr:col>
      <xdr:colOff>1549400</xdr:colOff>
      <xdr:row>68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37</xdr:row>
      <xdr:rowOff>19050</xdr:rowOff>
    </xdr:from>
    <xdr:to>
      <xdr:col>8</xdr:col>
      <xdr:colOff>1549401</xdr:colOff>
      <xdr:row>54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13</xdr:row>
      <xdr:rowOff>0</xdr:rowOff>
    </xdr:from>
    <xdr:to>
      <xdr:col>12</xdr:col>
      <xdr:colOff>476250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0.36903</cdr:x>
      <cdr:y>0.21875</cdr:y>
    </cdr:from>
    <cdr:to>
      <cdr:x>0.92734</cdr:x>
      <cdr:y>0.55208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38326" y="600075"/>
          <a:ext cx="27813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0.33903</cdr:x>
      <cdr:y>0.22126</cdr:y>
    </cdr:from>
    <cdr:to>
      <cdr:x>0.93654</cdr:x>
      <cdr:y>0.33333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75778" y="733422"/>
          <a:ext cx="2600924" cy="371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aseline="-25000"/>
            <a:t>81</a:t>
          </a:r>
          <a:r>
            <a:rPr lang="en-US" sz="1100"/>
            <a:t>Tl-204 </a:t>
          </a:r>
          <a:r>
            <a:rPr lang="en-US" sz="1100">
              <a:sym typeface="Symbol"/>
            </a:rPr>
            <a:t> </a:t>
          </a:r>
          <a:r>
            <a:rPr lang="en-US" sz="1100" baseline="-25000">
              <a:sym typeface="Symbol"/>
            </a:rPr>
            <a:t>82</a:t>
          </a:r>
          <a:r>
            <a:rPr lang="en-US" sz="1100">
              <a:sym typeface="Symbol"/>
            </a:rPr>
            <a:t>Pb-204 + </a:t>
          </a:r>
          <a:r>
            <a:rPr lang="en-US" sz="1100" baseline="30000">
              <a:sym typeface="Symbol"/>
            </a:rPr>
            <a:t>–</a:t>
          </a:r>
          <a:r>
            <a:rPr lang="en-US" sz="1100">
              <a:sym typeface="Symbol"/>
            </a:rPr>
            <a:t>      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3.78 a  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latin typeface="Symbol" pitchFamily="18" charset="2"/>
              <a:sym typeface="Symbol"/>
            </a:rPr>
            <a:t>b</a:t>
          </a:r>
          <a:r>
            <a:rPr lang="en-US" sz="1100" baseline="-25000">
              <a:sym typeface="Symbol"/>
            </a:rPr>
            <a:t>max</a:t>
          </a:r>
          <a:r>
            <a:rPr lang="en-US" sz="1100">
              <a:sym typeface="Symbol"/>
            </a:rPr>
            <a:t> = 0.7637 MeV)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52</xdr:row>
      <xdr:rowOff>133349</xdr:rowOff>
    </xdr:from>
    <xdr:to>
      <xdr:col>10</xdr:col>
      <xdr:colOff>1209675</xdr:colOff>
      <xdr:row>67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37</xdr:row>
      <xdr:rowOff>104775</xdr:rowOff>
    </xdr:from>
    <xdr:to>
      <xdr:col>10</xdr:col>
      <xdr:colOff>1219200</xdr:colOff>
      <xdr:row>51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40</xdr:row>
      <xdr:rowOff>47624</xdr:rowOff>
    </xdr:from>
    <xdr:to>
      <xdr:col>10</xdr:col>
      <xdr:colOff>800100</xdr:colOff>
      <xdr:row>42</xdr:row>
      <xdr:rowOff>142875</xdr:rowOff>
    </xdr:to>
    <xdr:sp macro="" textlink="">
      <xdr:nvSpPr>
        <xdr:cNvPr id="4" name="TextBox 3"/>
        <xdr:cNvSpPr txBox="1"/>
      </xdr:nvSpPr>
      <xdr:spPr>
        <a:xfrm>
          <a:off x="4933950" y="7915274"/>
          <a:ext cx="2552700" cy="476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-25000"/>
            <a:t>11</a:t>
          </a:r>
          <a:r>
            <a:rPr lang="en-US" sz="1100"/>
            <a:t>Na-22 </a:t>
          </a:r>
          <a:r>
            <a:rPr lang="en-US" sz="1100">
              <a:sym typeface="Symbol"/>
            </a:rPr>
            <a:t> </a:t>
          </a:r>
          <a:r>
            <a:rPr lang="en-US" sz="1100" baseline="-25000">
              <a:sym typeface="Symbol"/>
            </a:rPr>
            <a:t>10</a:t>
          </a:r>
          <a:r>
            <a:rPr lang="en-US" sz="1100">
              <a:sym typeface="Symbol"/>
            </a:rPr>
            <a:t>Ne-22 + </a:t>
          </a:r>
          <a:r>
            <a:rPr lang="en-US" sz="1100" i="1">
              <a:sym typeface="Symbol"/>
            </a:rPr>
            <a:t></a:t>
          </a:r>
          <a:r>
            <a:rPr lang="en-US" sz="1100" baseline="30000">
              <a:sym typeface="Symbol"/>
            </a:rPr>
            <a:t>+</a:t>
          </a:r>
          <a:r>
            <a:rPr lang="en-US" sz="1100">
              <a:sym typeface="Symbol"/>
            </a:rPr>
            <a:t> 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2.61 a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sym typeface="Symbol"/>
            </a:rPr>
            <a:t>max </a:t>
          </a:r>
          <a:r>
            <a:rPr lang="en-US" sz="1100">
              <a:sym typeface="Symbol"/>
            </a:rPr>
            <a:t>= 0.546 MeV)</a:t>
          </a:r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0.31591</cdr:x>
      <cdr:y>0.34722</cdr:y>
    </cdr:from>
    <cdr:to>
      <cdr:x>0.84091</cdr:x>
      <cdr:y>0.51389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3975" y="952500"/>
          <a:ext cx="22002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aseline="-25000"/>
            <a:t>10</a:t>
          </a:r>
          <a:r>
            <a:rPr lang="en-US" sz="1100"/>
            <a:t>Ne-22 </a:t>
          </a:r>
          <a:r>
            <a:rPr lang="en-US" sz="1100">
              <a:sym typeface="Symbol"/>
            </a:rPr>
            <a:t> </a:t>
          </a:r>
          <a:r>
            <a:rPr lang="en-US" sz="1100" b="0" baseline="-25000">
              <a:sym typeface="Symbol"/>
            </a:rPr>
            <a:t>10</a:t>
          </a:r>
          <a:r>
            <a:rPr lang="en-US" sz="1100">
              <a:sym typeface="Symbol"/>
            </a:rPr>
            <a:t>Ne-22 +  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5.2 ps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sym typeface="Symbol"/>
            </a:rPr>
            <a:t></a:t>
          </a:r>
          <a:r>
            <a:rPr lang="en-US" sz="1100">
              <a:sym typeface="Symbol"/>
            </a:rPr>
            <a:t> = 1.275 MeV)</a:t>
          </a:r>
          <a:endParaRPr lang="en-US" sz="1100"/>
        </a:p>
      </cdr:txBody>
    </cdr:sp>
  </cdr:relSizeAnchor>
  <cdr:relSizeAnchor xmlns:cdr="http://schemas.openxmlformats.org/drawingml/2006/chartDrawing">
    <cdr:from>
      <cdr:x>0.32273</cdr:x>
      <cdr:y>0.58333</cdr:y>
    </cdr:from>
    <cdr:to>
      <cdr:x>0.85682</cdr:x>
      <cdr:y>0.68403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2550" y="1600200"/>
          <a:ext cx="2238375" cy="27622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e</a:t>
          </a:r>
          <a:r>
            <a:rPr lang="en-US" sz="1100" baseline="30000"/>
            <a:t>+</a:t>
          </a:r>
          <a:r>
            <a:rPr lang="en-US" sz="1100"/>
            <a:t> + e</a:t>
          </a:r>
          <a:r>
            <a:rPr lang="en-US" sz="1100" baseline="30000"/>
            <a:t>–</a:t>
          </a:r>
          <a:r>
            <a:rPr lang="en-US" sz="1100"/>
            <a:t> </a:t>
          </a:r>
          <a:r>
            <a:rPr lang="en-US" sz="1100">
              <a:sym typeface="Symbol"/>
            </a:rPr>
            <a:t> +    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sym typeface="Symbol"/>
            </a:rPr>
            <a:t></a:t>
          </a:r>
          <a:r>
            <a:rPr lang="en-US" sz="1100">
              <a:sym typeface="Symbol"/>
            </a:rPr>
            <a:t> = 0.511 MeV)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55</xdr:row>
      <xdr:rowOff>0</xdr:rowOff>
    </xdr:from>
    <xdr:to>
      <xdr:col>10</xdr:col>
      <xdr:colOff>390525</xdr:colOff>
      <xdr:row>68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37</xdr:row>
      <xdr:rowOff>19050</xdr:rowOff>
    </xdr:from>
    <xdr:to>
      <xdr:col>10</xdr:col>
      <xdr:colOff>352425</xdr:colOff>
      <xdr:row>54</xdr:row>
      <xdr:rowOff>38101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0.29167</cdr:x>
      <cdr:y>0.18014</cdr:y>
    </cdr:from>
    <cdr:to>
      <cdr:x>0.92292</cdr:x>
      <cdr:y>0.47661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515" y="586815"/>
          <a:ext cx="2886075" cy="9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aseline="-25000"/>
            <a:t>38</a:t>
          </a:r>
          <a:r>
            <a:rPr lang="en-US" sz="1100"/>
            <a:t>Sr-90 </a:t>
          </a:r>
          <a:r>
            <a:rPr lang="en-US" sz="1100">
              <a:sym typeface="Symbol"/>
            </a:rPr>
            <a:t> </a:t>
          </a:r>
          <a:r>
            <a:rPr lang="en-US" sz="1100" baseline="-25000">
              <a:sym typeface="Symbol"/>
            </a:rPr>
            <a:t>39</a:t>
          </a:r>
          <a:r>
            <a:rPr lang="en-US" sz="1100">
              <a:sym typeface="Symbol"/>
            </a:rPr>
            <a:t>Y-90 + </a:t>
          </a:r>
          <a:r>
            <a:rPr lang="en-US" sz="1100" baseline="30000">
              <a:sym typeface="Symbol"/>
            </a:rPr>
            <a:t>– </a:t>
          </a:r>
          <a:r>
            <a:rPr lang="en-US" sz="1100">
              <a:sym typeface="Symbol"/>
            </a:rPr>
            <a:t>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29.1 a 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latin typeface="Symbol" pitchFamily="18" charset="2"/>
              <a:sym typeface="Symbol"/>
            </a:rPr>
            <a:t>b</a:t>
          </a:r>
          <a:r>
            <a:rPr lang="en-US" sz="1100" baseline="-25000">
              <a:sym typeface="Symbol"/>
            </a:rPr>
            <a:t>max </a:t>
          </a:r>
          <a:r>
            <a:rPr lang="en-US" sz="1100">
              <a:sym typeface="Symbol"/>
            </a:rPr>
            <a:t>= 0.546 MeV)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/>
          </a:r>
          <a:br>
            <a:rPr lang="en-US" sz="1100">
              <a:sym typeface="Symbol"/>
            </a:rPr>
          </a:br>
          <a:r>
            <a:rPr lang="en-US" sz="1100" baseline="-25000">
              <a:sym typeface="Symbol"/>
            </a:rPr>
            <a:t>39</a:t>
          </a:r>
          <a:r>
            <a:rPr lang="en-US" sz="1100">
              <a:sym typeface="Symbol"/>
            </a:rPr>
            <a:t>Y-90  </a:t>
          </a:r>
          <a:r>
            <a:rPr lang="en-US" sz="1100" baseline="-25000">
              <a:sym typeface="Symbol"/>
            </a:rPr>
            <a:t>40</a:t>
          </a:r>
          <a:r>
            <a:rPr lang="en-US" sz="1100">
              <a:sym typeface="Symbol"/>
            </a:rPr>
            <a:t>Zr-90 + </a:t>
          </a:r>
          <a:r>
            <a:rPr lang="en-US" sz="1100" baseline="30000">
              <a:sym typeface="Symbol"/>
            </a:rPr>
            <a:t>–</a:t>
          </a:r>
          <a:r>
            <a:rPr lang="en-US" sz="1100">
              <a:sym typeface="Symbol"/>
            </a:rPr>
            <a:t> 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2.7 d 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latin typeface="+mn-lt"/>
              <a:ea typeface="+mn-ea"/>
              <a:cs typeface="+mn-cs"/>
            </a:rPr>
            <a:t>E</a:t>
          </a:r>
          <a:r>
            <a:rPr lang="en-US" sz="1100" baseline="-25000">
              <a:latin typeface="Symbol" pitchFamily="18" charset="2"/>
              <a:ea typeface="+mn-ea"/>
              <a:cs typeface="+mn-cs"/>
            </a:rPr>
            <a:t>b</a:t>
          </a:r>
          <a:r>
            <a:rPr lang="en-US" sz="1100" baseline="-25000">
              <a:latin typeface="+mn-lt"/>
              <a:ea typeface="+mn-ea"/>
              <a:cs typeface="+mn-cs"/>
            </a:rPr>
            <a:t>max </a:t>
          </a:r>
          <a:r>
            <a:rPr lang="en-US" sz="1100">
              <a:latin typeface="+mn-lt"/>
              <a:ea typeface="+mn-ea"/>
              <a:cs typeface="+mn-cs"/>
            </a:rPr>
            <a:t>= </a:t>
          </a:r>
          <a:r>
            <a:rPr lang="en-US" sz="1100">
              <a:sym typeface="Symbol"/>
            </a:rPr>
            <a:t>2.282 MeV)</a:t>
          </a:r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53</xdr:row>
      <xdr:rowOff>161925</xdr:rowOff>
    </xdr:from>
    <xdr:to>
      <xdr:col>10</xdr:col>
      <xdr:colOff>1247775</xdr:colOff>
      <xdr:row>67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37</xdr:row>
      <xdr:rowOff>57150</xdr:rowOff>
    </xdr:from>
    <xdr:to>
      <xdr:col>10</xdr:col>
      <xdr:colOff>1247775</xdr:colOff>
      <xdr:row>52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523875</xdr:colOff>
      <xdr:row>41</xdr:row>
      <xdr:rowOff>114300</xdr:rowOff>
    </xdr:from>
    <xdr:to>
      <xdr:col>10</xdr:col>
      <xdr:colOff>1085849</xdr:colOff>
      <xdr:row>44</xdr:row>
      <xdr:rowOff>38099</xdr:rowOff>
    </xdr:to>
    <xdr:sp macro="" textlink="">
      <xdr:nvSpPr>
        <xdr:cNvPr id="4" name="TextBox 3"/>
        <xdr:cNvSpPr txBox="1"/>
      </xdr:nvSpPr>
      <xdr:spPr>
        <a:xfrm>
          <a:off x="4972050" y="8191500"/>
          <a:ext cx="2876549" cy="4952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-25000"/>
            <a:t>55</a:t>
          </a:r>
          <a:r>
            <a:rPr lang="en-US" sz="1100"/>
            <a:t>Cs-137 </a:t>
          </a:r>
          <a:r>
            <a:rPr lang="en-US" sz="1100">
              <a:sym typeface="Symbol"/>
            </a:rPr>
            <a:t> </a:t>
          </a:r>
          <a:r>
            <a:rPr lang="en-US" sz="1100" baseline="-25000">
              <a:sym typeface="Symbol"/>
            </a:rPr>
            <a:t>56</a:t>
          </a:r>
          <a:r>
            <a:rPr lang="en-US" sz="1100">
              <a:sym typeface="Symbol"/>
            </a:rPr>
            <a:t>Ba-137 + </a:t>
          </a:r>
          <a:r>
            <a:rPr lang="en-US" sz="1100" i="1">
              <a:sym typeface="Symbol"/>
            </a:rPr>
            <a:t></a:t>
          </a:r>
          <a:r>
            <a:rPr lang="en-US" sz="1100" baseline="30000">
              <a:sym typeface="Symbol"/>
            </a:rPr>
            <a:t>–</a:t>
          </a:r>
          <a:r>
            <a:rPr lang="en-US" sz="1100">
              <a:sym typeface="Symbol"/>
            </a:rPr>
            <a:t> 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30.2 a (95%)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sym typeface="Symbol"/>
            </a:rPr>
            <a:t>max </a:t>
          </a:r>
          <a:r>
            <a:rPr lang="en-US" sz="1100">
              <a:sym typeface="Symbol"/>
            </a:rPr>
            <a:t>= 0.512 MeV)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0.30455</cdr:x>
      <cdr:y>0.43144</cdr:y>
    </cdr:from>
    <cdr:to>
      <cdr:x>0.86591</cdr:x>
      <cdr:y>0.58528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1" y="1228726"/>
          <a:ext cx="2352674" cy="4381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aseline="-25000"/>
            <a:t>56</a:t>
          </a:r>
          <a:r>
            <a:rPr lang="en-US" sz="1100"/>
            <a:t>Ba-137 </a:t>
          </a:r>
          <a:r>
            <a:rPr lang="en-US" sz="1100">
              <a:sym typeface="Symbol"/>
            </a:rPr>
            <a:t> </a:t>
          </a:r>
          <a:r>
            <a:rPr lang="en-US" sz="1100" baseline="-25000">
              <a:sym typeface="Symbol"/>
            </a:rPr>
            <a:t>56</a:t>
          </a:r>
          <a:r>
            <a:rPr lang="en-US" sz="1100">
              <a:sym typeface="Symbol"/>
            </a:rPr>
            <a:t>Ba-137 +   </a:t>
          </a:r>
          <a:r>
            <a:rPr lang="en-US" sz="1100" i="1">
              <a:sym typeface="Symbol"/>
            </a:rPr>
            <a:t>t</a:t>
          </a:r>
          <a:r>
            <a:rPr lang="en-US" sz="1100" baseline="-25000">
              <a:sym typeface="Symbol"/>
            </a:rPr>
            <a:t>1/2</a:t>
          </a:r>
          <a:r>
            <a:rPr lang="en-US" sz="1100">
              <a:sym typeface="Symbol"/>
            </a:rPr>
            <a:t> = 2.55 m</a:t>
          </a:r>
          <a:br>
            <a:rPr lang="en-US" sz="1100">
              <a:sym typeface="Symbol"/>
            </a:rPr>
          </a:br>
          <a:r>
            <a:rPr lang="en-US" sz="1100">
              <a:sym typeface="Symbol"/>
            </a:rPr>
            <a:t>(</a:t>
          </a:r>
          <a:r>
            <a:rPr lang="en-US" sz="1100" i="1">
              <a:sym typeface="Symbol"/>
            </a:rPr>
            <a:t>E</a:t>
          </a:r>
          <a:r>
            <a:rPr lang="en-US" sz="1100" baseline="-25000">
              <a:sym typeface="Symbol"/>
            </a:rPr>
            <a:t></a:t>
          </a:r>
          <a:r>
            <a:rPr lang="en-US" sz="1100">
              <a:sym typeface="Symbol"/>
            </a:rPr>
            <a:t> = 0.662 MeV)</a:t>
          </a:r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55</xdr:row>
      <xdr:rowOff>152400</xdr:rowOff>
    </xdr:from>
    <xdr:to>
      <xdr:col>3</xdr:col>
      <xdr:colOff>600075</xdr:colOff>
      <xdr:row>57</xdr:row>
      <xdr:rowOff>152400</xdr:rowOff>
    </xdr:to>
    <xdr:sp macro="" textlink="">
      <xdr:nvSpPr>
        <xdr:cNvPr id="53" name="TextBox 52"/>
        <xdr:cNvSpPr txBox="1"/>
      </xdr:nvSpPr>
      <xdr:spPr>
        <a:xfrm>
          <a:off x="1895475" y="10801350"/>
          <a:ext cx="6667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9</a:t>
          </a:r>
          <a:r>
            <a:rPr lang="en-US" sz="1100">
              <a:sym typeface="Symbol"/>
            </a:rPr>
            <a:t>1 mm</a:t>
          </a:r>
          <a:endParaRPr lang="en-US" sz="1100"/>
        </a:p>
      </xdr:txBody>
    </xdr:sp>
    <xdr:clientData/>
  </xdr:twoCellAnchor>
  <xdr:twoCellAnchor>
    <xdr:from>
      <xdr:col>7</xdr:col>
      <xdr:colOff>28575</xdr:colOff>
      <xdr:row>43</xdr:row>
      <xdr:rowOff>142875</xdr:rowOff>
    </xdr:from>
    <xdr:to>
      <xdr:col>7</xdr:col>
      <xdr:colOff>371475</xdr:colOff>
      <xdr:row>45</xdr:row>
      <xdr:rowOff>57150</xdr:rowOff>
    </xdr:to>
    <xdr:sp macro="" textlink="">
      <xdr:nvSpPr>
        <xdr:cNvPr id="47" name="TextBox 46"/>
        <xdr:cNvSpPr txBox="1"/>
      </xdr:nvSpPr>
      <xdr:spPr>
        <a:xfrm>
          <a:off x="4429125" y="8505825"/>
          <a:ext cx="3429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Pb</a:t>
          </a:r>
        </a:p>
      </xdr:txBody>
    </xdr:sp>
    <xdr:clientData/>
  </xdr:twoCellAnchor>
  <xdr:twoCellAnchor>
    <xdr:from>
      <xdr:col>8</xdr:col>
      <xdr:colOff>419099</xdr:colOff>
      <xdr:row>47</xdr:row>
      <xdr:rowOff>161925</xdr:rowOff>
    </xdr:from>
    <xdr:to>
      <xdr:col>9</xdr:col>
      <xdr:colOff>409574</xdr:colOff>
      <xdr:row>49</xdr:row>
      <xdr:rowOff>76200</xdr:rowOff>
    </xdr:to>
    <xdr:sp macro="" textlink="">
      <xdr:nvSpPr>
        <xdr:cNvPr id="41" name="TextBox 40"/>
        <xdr:cNvSpPr txBox="1"/>
      </xdr:nvSpPr>
      <xdr:spPr>
        <a:xfrm>
          <a:off x="5429249" y="9286875"/>
          <a:ext cx="6000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20 mm</a:t>
          </a:r>
        </a:p>
      </xdr:txBody>
    </xdr:sp>
    <xdr:clientData/>
  </xdr:twoCellAnchor>
  <xdr:twoCellAnchor>
    <xdr:from>
      <xdr:col>11</xdr:col>
      <xdr:colOff>304800</xdr:colOff>
      <xdr:row>27</xdr:row>
      <xdr:rowOff>133350</xdr:rowOff>
    </xdr:from>
    <xdr:to>
      <xdr:col>12</xdr:col>
      <xdr:colOff>0</xdr:colOff>
      <xdr:row>29</xdr:row>
      <xdr:rowOff>19050</xdr:rowOff>
    </xdr:to>
    <xdr:sp macro="" textlink="">
      <xdr:nvSpPr>
        <xdr:cNvPr id="45" name="TextBox 44"/>
        <xdr:cNvSpPr txBox="1"/>
      </xdr:nvSpPr>
      <xdr:spPr>
        <a:xfrm>
          <a:off x="7143750" y="5391150"/>
          <a:ext cx="3048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L</a:t>
          </a:r>
        </a:p>
      </xdr:txBody>
    </xdr:sp>
    <xdr:clientData/>
  </xdr:twoCellAnchor>
  <xdr:twoCellAnchor>
    <xdr:from>
      <xdr:col>3</xdr:col>
      <xdr:colOff>457200</xdr:colOff>
      <xdr:row>45</xdr:row>
      <xdr:rowOff>47624</xdr:rowOff>
    </xdr:from>
    <xdr:to>
      <xdr:col>9</xdr:col>
      <xdr:colOff>0</xdr:colOff>
      <xdr:row>62</xdr:row>
      <xdr:rowOff>9524</xdr:rowOff>
    </xdr:to>
    <xdr:sp macro="" textlink="">
      <xdr:nvSpPr>
        <xdr:cNvPr id="4" name="Oval 3"/>
        <xdr:cNvSpPr/>
      </xdr:nvSpPr>
      <xdr:spPr>
        <a:xfrm>
          <a:off x="2419350" y="8734424"/>
          <a:ext cx="3200400" cy="32004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278022</xdr:colOff>
      <xdr:row>4</xdr:row>
      <xdr:rowOff>133350</xdr:rowOff>
    </xdr:from>
    <xdr:to>
      <xdr:col>5</xdr:col>
      <xdr:colOff>8446</xdr:colOff>
      <xdr:row>14</xdr:row>
      <xdr:rowOff>168375</xdr:rowOff>
    </xdr:to>
    <xdr:pic>
      <xdr:nvPicPr>
        <xdr:cNvPr id="2" name="Picture 1" descr="BetaSpec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022" y="942975"/>
          <a:ext cx="2911774" cy="19400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6</xdr:col>
      <xdr:colOff>71889</xdr:colOff>
      <xdr:row>4</xdr:row>
      <xdr:rowOff>141618</xdr:rowOff>
    </xdr:from>
    <xdr:to>
      <xdr:col>11</xdr:col>
      <xdr:colOff>35944</xdr:colOff>
      <xdr:row>14</xdr:row>
      <xdr:rowOff>170372</xdr:rowOff>
    </xdr:to>
    <xdr:pic>
      <xdr:nvPicPr>
        <xdr:cNvPr id="3" name="Picture 2" descr="BetaSpec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62839" y="951243"/>
          <a:ext cx="3012055" cy="193375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8</xdr:col>
      <xdr:colOff>76200</xdr:colOff>
      <xdr:row>44</xdr:row>
      <xdr:rowOff>76200</xdr:rowOff>
    </xdr:from>
    <xdr:to>
      <xdr:col>8</xdr:col>
      <xdr:colOff>561975</xdr:colOff>
      <xdr:row>45</xdr:row>
      <xdr:rowOff>57150</xdr:rowOff>
    </xdr:to>
    <xdr:sp macro="" textlink="">
      <xdr:nvSpPr>
        <xdr:cNvPr id="5" name="Rectangle 4"/>
        <xdr:cNvSpPr/>
      </xdr:nvSpPr>
      <xdr:spPr>
        <a:xfrm rot="2467649">
          <a:off x="5086350" y="8572500"/>
          <a:ext cx="485775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590550</xdr:colOff>
      <xdr:row>52</xdr:row>
      <xdr:rowOff>47625</xdr:rowOff>
    </xdr:from>
    <xdr:to>
      <xdr:col>2</xdr:col>
      <xdr:colOff>581025</xdr:colOff>
      <xdr:row>55</xdr:row>
      <xdr:rowOff>38100</xdr:rowOff>
    </xdr:to>
    <xdr:sp macro="" textlink="">
      <xdr:nvSpPr>
        <xdr:cNvPr id="6" name="Rectangle 5"/>
        <xdr:cNvSpPr/>
      </xdr:nvSpPr>
      <xdr:spPr>
        <a:xfrm>
          <a:off x="590550" y="10067925"/>
          <a:ext cx="1343025" cy="5619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52</xdr:row>
      <xdr:rowOff>104775</xdr:rowOff>
    </xdr:from>
    <xdr:to>
      <xdr:col>3</xdr:col>
      <xdr:colOff>438150</xdr:colOff>
      <xdr:row>53</xdr:row>
      <xdr:rowOff>85725</xdr:rowOff>
    </xdr:to>
    <xdr:sp macro="" textlink="">
      <xdr:nvSpPr>
        <xdr:cNvPr id="7" name="Rectangle 6"/>
        <xdr:cNvSpPr/>
      </xdr:nvSpPr>
      <xdr:spPr>
        <a:xfrm>
          <a:off x="1962150" y="10125075"/>
          <a:ext cx="43815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53</xdr:row>
      <xdr:rowOff>180975</xdr:rowOff>
    </xdr:from>
    <xdr:to>
      <xdr:col>3</xdr:col>
      <xdr:colOff>438150</xdr:colOff>
      <xdr:row>54</xdr:row>
      <xdr:rowOff>142875</xdr:rowOff>
    </xdr:to>
    <xdr:sp macro="" textlink="">
      <xdr:nvSpPr>
        <xdr:cNvPr id="8" name="Rectangle 7"/>
        <xdr:cNvSpPr/>
      </xdr:nvSpPr>
      <xdr:spPr>
        <a:xfrm>
          <a:off x="1962150" y="10391775"/>
          <a:ext cx="43815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276225</xdr:colOff>
      <xdr:row>45</xdr:row>
      <xdr:rowOff>114300</xdr:rowOff>
    </xdr:from>
    <xdr:to>
      <xdr:col>8</xdr:col>
      <xdr:colOff>600075</xdr:colOff>
      <xdr:row>47</xdr:row>
      <xdr:rowOff>19050</xdr:rowOff>
    </xdr:to>
    <xdr:cxnSp macro="">
      <xdr:nvCxnSpPr>
        <xdr:cNvPr id="27" name="Straight Connector 26"/>
        <xdr:cNvCxnSpPr/>
      </xdr:nvCxnSpPr>
      <xdr:spPr>
        <a:xfrm>
          <a:off x="5286375" y="8801100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43</xdr:row>
      <xdr:rowOff>123825</xdr:rowOff>
    </xdr:from>
    <xdr:to>
      <xdr:col>8</xdr:col>
      <xdr:colOff>190500</xdr:colOff>
      <xdr:row>45</xdr:row>
      <xdr:rowOff>28575</xdr:rowOff>
    </xdr:to>
    <xdr:cxnSp macro="">
      <xdr:nvCxnSpPr>
        <xdr:cNvPr id="28" name="Straight Connector 27"/>
        <xdr:cNvCxnSpPr/>
      </xdr:nvCxnSpPr>
      <xdr:spPr>
        <a:xfrm>
          <a:off x="4876800" y="8429625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46</xdr:row>
      <xdr:rowOff>133350</xdr:rowOff>
    </xdr:from>
    <xdr:to>
      <xdr:col>8</xdr:col>
      <xdr:colOff>428625</xdr:colOff>
      <xdr:row>48</xdr:row>
      <xdr:rowOff>38100</xdr:rowOff>
    </xdr:to>
    <xdr:cxnSp macro="">
      <xdr:nvCxnSpPr>
        <xdr:cNvPr id="29" name="Straight Connector 28"/>
        <xdr:cNvCxnSpPr/>
      </xdr:nvCxnSpPr>
      <xdr:spPr>
        <a:xfrm>
          <a:off x="5114925" y="9010650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44</xdr:row>
      <xdr:rowOff>161925</xdr:rowOff>
    </xdr:from>
    <xdr:to>
      <xdr:col>8</xdr:col>
      <xdr:colOff>19050</xdr:colOff>
      <xdr:row>46</xdr:row>
      <xdr:rowOff>66675</xdr:rowOff>
    </xdr:to>
    <xdr:cxnSp macro="">
      <xdr:nvCxnSpPr>
        <xdr:cNvPr id="30" name="Straight Connector 29"/>
        <xdr:cNvCxnSpPr/>
      </xdr:nvCxnSpPr>
      <xdr:spPr>
        <a:xfrm>
          <a:off x="4705350" y="8658225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400051</xdr:colOff>
      <xdr:row>52</xdr:row>
      <xdr:rowOff>180975</xdr:rowOff>
    </xdr:from>
    <xdr:to>
      <xdr:col>2</xdr:col>
      <xdr:colOff>381001</xdr:colOff>
      <xdr:row>54</xdr:row>
      <xdr:rowOff>85725</xdr:rowOff>
    </xdr:to>
    <xdr:sp macro="" textlink="">
      <xdr:nvSpPr>
        <xdr:cNvPr id="31" name="TextBox 30"/>
        <xdr:cNvSpPr txBox="1"/>
      </xdr:nvSpPr>
      <xdr:spPr>
        <a:xfrm>
          <a:off x="1047751" y="10201275"/>
          <a:ext cx="6858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GM tube</a:t>
          </a:r>
        </a:p>
      </xdr:txBody>
    </xdr:sp>
    <xdr:clientData/>
  </xdr:twoCellAnchor>
  <xdr:twoCellAnchor>
    <xdr:from>
      <xdr:col>8</xdr:col>
      <xdr:colOff>438150</xdr:colOff>
      <xdr:row>43</xdr:row>
      <xdr:rowOff>85725</xdr:rowOff>
    </xdr:from>
    <xdr:to>
      <xdr:col>9</xdr:col>
      <xdr:colOff>390525</xdr:colOff>
      <xdr:row>44</xdr:row>
      <xdr:rowOff>180975</xdr:rowOff>
    </xdr:to>
    <xdr:sp macro="" textlink="">
      <xdr:nvSpPr>
        <xdr:cNvPr id="32" name="TextBox 31"/>
        <xdr:cNvSpPr txBox="1"/>
      </xdr:nvSpPr>
      <xdr:spPr>
        <a:xfrm>
          <a:off x="5448300" y="8391525"/>
          <a:ext cx="5619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source</a:t>
          </a:r>
        </a:p>
      </xdr:txBody>
    </xdr:sp>
    <xdr:clientData/>
  </xdr:twoCellAnchor>
  <xdr:twoCellAnchor>
    <xdr:from>
      <xdr:col>3</xdr:col>
      <xdr:colOff>457200</xdr:colOff>
      <xdr:row>36</xdr:row>
      <xdr:rowOff>152401</xdr:rowOff>
    </xdr:from>
    <xdr:to>
      <xdr:col>3</xdr:col>
      <xdr:colOff>495300</xdr:colOff>
      <xdr:row>53</xdr:row>
      <xdr:rowOff>57150</xdr:rowOff>
    </xdr:to>
    <xdr:cxnSp macro="">
      <xdr:nvCxnSpPr>
        <xdr:cNvPr id="38" name="Straight Connector 37"/>
        <xdr:cNvCxnSpPr/>
      </xdr:nvCxnSpPr>
      <xdr:spPr>
        <a:xfrm rot="10800000" flipH="1">
          <a:off x="2419350" y="7124701"/>
          <a:ext cx="38100" cy="3143249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36</xdr:row>
      <xdr:rowOff>171450</xdr:rowOff>
    </xdr:from>
    <xdr:to>
      <xdr:col>6</xdr:col>
      <xdr:colOff>276225</xdr:colOff>
      <xdr:row>53</xdr:row>
      <xdr:rowOff>133350</xdr:rowOff>
    </xdr:to>
    <xdr:cxnSp macro="">
      <xdr:nvCxnSpPr>
        <xdr:cNvPr id="42" name="Straight Connector 41"/>
        <xdr:cNvCxnSpPr/>
      </xdr:nvCxnSpPr>
      <xdr:spPr>
        <a:xfrm rot="16200000" flipV="1">
          <a:off x="1662113" y="7939087"/>
          <a:ext cx="3200400" cy="16097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381001</xdr:colOff>
      <xdr:row>53</xdr:row>
      <xdr:rowOff>114300</xdr:rowOff>
    </xdr:from>
    <xdr:to>
      <xdr:col>11</xdr:col>
      <xdr:colOff>180975</xdr:colOff>
      <xdr:row>53</xdr:row>
      <xdr:rowOff>133350</xdr:rowOff>
    </xdr:to>
    <xdr:cxnSp macro="">
      <xdr:nvCxnSpPr>
        <xdr:cNvPr id="46" name="Straight Connector 45"/>
        <xdr:cNvCxnSpPr>
          <a:stCxn id="31" idx="3"/>
        </xdr:cNvCxnSpPr>
      </xdr:nvCxnSpPr>
      <xdr:spPr>
        <a:xfrm flipV="1">
          <a:off x="1733551" y="10325100"/>
          <a:ext cx="5286374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504826</xdr:colOff>
      <xdr:row>36</xdr:row>
      <xdr:rowOff>180975</xdr:rowOff>
    </xdr:from>
    <xdr:to>
      <xdr:col>8</xdr:col>
      <xdr:colOff>1</xdr:colOff>
      <xdr:row>47</xdr:row>
      <xdr:rowOff>9525</xdr:rowOff>
    </xdr:to>
    <xdr:cxnSp macro="">
      <xdr:nvCxnSpPr>
        <xdr:cNvPr id="48" name="Straight Connector 47"/>
        <xdr:cNvCxnSpPr/>
      </xdr:nvCxnSpPr>
      <xdr:spPr>
        <a:xfrm rot="10800000">
          <a:off x="2466976" y="7153275"/>
          <a:ext cx="2543175" cy="19240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447674</xdr:colOff>
      <xdr:row>40</xdr:row>
      <xdr:rowOff>142875</xdr:rowOff>
    </xdr:from>
    <xdr:to>
      <xdr:col>5</xdr:col>
      <xdr:colOff>238125</xdr:colOff>
      <xdr:row>42</xdr:row>
      <xdr:rowOff>19050</xdr:rowOff>
    </xdr:to>
    <xdr:sp macro="" textlink="">
      <xdr:nvSpPr>
        <xdr:cNvPr id="49" name="TextBox 48"/>
        <xdr:cNvSpPr txBox="1"/>
      </xdr:nvSpPr>
      <xdr:spPr>
        <a:xfrm>
          <a:off x="3019424" y="7934325"/>
          <a:ext cx="40005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latin typeface="Symbol" pitchFamily="18" charset="2"/>
            </a:rPr>
            <a:t>q</a:t>
          </a:r>
          <a:r>
            <a:rPr lang="en-US" sz="1100"/>
            <a:t>/2</a:t>
          </a:r>
        </a:p>
      </xdr:txBody>
    </xdr:sp>
    <xdr:clientData/>
  </xdr:twoCellAnchor>
  <xdr:twoCellAnchor>
    <xdr:from>
      <xdr:col>6</xdr:col>
      <xdr:colOff>0</xdr:colOff>
      <xdr:row>40</xdr:row>
      <xdr:rowOff>104776</xdr:rowOff>
    </xdr:from>
    <xdr:to>
      <xdr:col>6</xdr:col>
      <xdr:colOff>257175</xdr:colOff>
      <xdr:row>42</xdr:row>
      <xdr:rowOff>9526</xdr:rowOff>
    </xdr:to>
    <xdr:sp macro="" textlink="">
      <xdr:nvSpPr>
        <xdr:cNvPr id="59" name="TextBox 58"/>
        <xdr:cNvSpPr txBox="1"/>
      </xdr:nvSpPr>
      <xdr:spPr>
        <a:xfrm>
          <a:off x="3790950" y="7839076"/>
          <a:ext cx="257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r</a:t>
          </a:r>
        </a:p>
      </xdr:txBody>
    </xdr:sp>
    <xdr:clientData/>
  </xdr:twoCellAnchor>
  <xdr:twoCellAnchor>
    <xdr:from>
      <xdr:col>7</xdr:col>
      <xdr:colOff>304800</xdr:colOff>
      <xdr:row>49</xdr:row>
      <xdr:rowOff>38100</xdr:rowOff>
    </xdr:from>
    <xdr:to>
      <xdr:col>7</xdr:col>
      <xdr:colOff>581025</xdr:colOff>
      <xdr:row>50</xdr:row>
      <xdr:rowOff>114300</xdr:rowOff>
    </xdr:to>
    <xdr:sp macro="" textlink="">
      <xdr:nvSpPr>
        <xdr:cNvPr id="60" name="TextBox 59"/>
        <xdr:cNvSpPr txBox="1"/>
      </xdr:nvSpPr>
      <xdr:spPr>
        <a:xfrm>
          <a:off x="4705350" y="9486900"/>
          <a:ext cx="276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R</a:t>
          </a:r>
        </a:p>
      </xdr:txBody>
    </xdr:sp>
    <xdr:clientData/>
  </xdr:twoCellAnchor>
  <xdr:twoCellAnchor>
    <xdr:from>
      <xdr:col>6</xdr:col>
      <xdr:colOff>209550</xdr:colOff>
      <xdr:row>50</xdr:row>
      <xdr:rowOff>180975</xdr:rowOff>
    </xdr:from>
    <xdr:to>
      <xdr:col>6</xdr:col>
      <xdr:colOff>485775</xdr:colOff>
      <xdr:row>52</xdr:row>
      <xdr:rowOff>95250</xdr:rowOff>
    </xdr:to>
    <xdr:sp macro="" textlink="">
      <xdr:nvSpPr>
        <xdr:cNvPr id="62" name="TextBox 61"/>
        <xdr:cNvSpPr txBox="1"/>
      </xdr:nvSpPr>
      <xdr:spPr>
        <a:xfrm>
          <a:off x="4000500" y="9820275"/>
          <a:ext cx="2762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>
              <a:sym typeface="Symbol"/>
            </a:rPr>
            <a:t></a:t>
          </a:r>
          <a:endParaRPr lang="en-US" sz="1100" i="1"/>
        </a:p>
      </xdr:txBody>
    </xdr:sp>
    <xdr:clientData/>
  </xdr:twoCellAnchor>
  <xdr:twoCellAnchor>
    <xdr:from>
      <xdr:col>6</xdr:col>
      <xdr:colOff>552450</xdr:colOff>
      <xdr:row>52</xdr:row>
      <xdr:rowOff>0</xdr:rowOff>
    </xdr:from>
    <xdr:to>
      <xdr:col>7</xdr:col>
      <xdr:colOff>219075</xdr:colOff>
      <xdr:row>53</xdr:row>
      <xdr:rowOff>85725</xdr:rowOff>
    </xdr:to>
    <xdr:sp macro="" textlink="">
      <xdr:nvSpPr>
        <xdr:cNvPr id="61" name="TextBox 60"/>
        <xdr:cNvSpPr txBox="1"/>
      </xdr:nvSpPr>
      <xdr:spPr>
        <a:xfrm>
          <a:off x="4343400" y="10020300"/>
          <a:ext cx="2762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>
              <a:latin typeface="Symbol" pitchFamily="18" charset="2"/>
            </a:rPr>
            <a:t>q</a:t>
          </a:r>
        </a:p>
      </xdr:txBody>
    </xdr:sp>
    <xdr:clientData/>
  </xdr:twoCellAnchor>
  <xdr:twoCellAnchor>
    <xdr:from>
      <xdr:col>5</xdr:col>
      <xdr:colOff>400050</xdr:colOff>
      <xdr:row>52</xdr:row>
      <xdr:rowOff>19050</xdr:rowOff>
    </xdr:from>
    <xdr:to>
      <xdr:col>6</xdr:col>
      <xdr:colOff>66675</xdr:colOff>
      <xdr:row>53</xdr:row>
      <xdr:rowOff>95250</xdr:rowOff>
    </xdr:to>
    <xdr:sp macro="" textlink="">
      <xdr:nvSpPr>
        <xdr:cNvPr id="63" name="TextBox 62"/>
        <xdr:cNvSpPr txBox="1"/>
      </xdr:nvSpPr>
      <xdr:spPr>
        <a:xfrm>
          <a:off x="3581400" y="10039350"/>
          <a:ext cx="276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>
              <a:sym typeface="Symbol"/>
            </a:rPr>
            <a:t></a:t>
          </a:r>
          <a:endParaRPr lang="en-US" sz="1100" i="1"/>
        </a:p>
      </xdr:txBody>
    </xdr:sp>
    <xdr:clientData/>
  </xdr:twoCellAnchor>
  <xdr:twoCellAnchor>
    <xdr:from>
      <xdr:col>6</xdr:col>
      <xdr:colOff>257174</xdr:colOff>
      <xdr:row>45</xdr:row>
      <xdr:rowOff>35999</xdr:rowOff>
    </xdr:from>
    <xdr:to>
      <xdr:col>8</xdr:col>
      <xdr:colOff>253177</xdr:colOff>
      <xdr:row>53</xdr:row>
      <xdr:rowOff>133351</xdr:rowOff>
    </xdr:to>
    <xdr:cxnSp macro="">
      <xdr:nvCxnSpPr>
        <xdr:cNvPr id="24" name="Straight Connector 23"/>
        <xdr:cNvCxnSpPr/>
      </xdr:nvCxnSpPr>
      <xdr:spPr>
        <a:xfrm rot="5400000" flipH="1" flipV="1">
          <a:off x="3845050" y="8925873"/>
          <a:ext cx="1621352" cy="12152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47</xdr:row>
      <xdr:rowOff>9525</xdr:rowOff>
    </xdr:from>
    <xdr:to>
      <xdr:col>7</xdr:col>
      <xdr:colOff>581025</xdr:colOff>
      <xdr:row>53</xdr:row>
      <xdr:rowOff>123825</xdr:rowOff>
    </xdr:to>
    <xdr:sp macro="" textlink="">
      <xdr:nvSpPr>
        <xdr:cNvPr id="58" name="Freeform 57"/>
        <xdr:cNvSpPr/>
      </xdr:nvSpPr>
      <xdr:spPr>
        <a:xfrm>
          <a:off x="2419350" y="9077325"/>
          <a:ext cx="2562225" cy="1257300"/>
        </a:xfrm>
        <a:custGeom>
          <a:avLst/>
          <a:gdLst>
            <a:gd name="connsiteX0" fmla="*/ 2562225 w 2562225"/>
            <a:gd name="connsiteY0" fmla="*/ 0 h 1257300"/>
            <a:gd name="connsiteX1" fmla="*/ 2228850 w 2562225"/>
            <a:gd name="connsiteY1" fmla="*/ 323850 h 1257300"/>
            <a:gd name="connsiteX2" fmla="*/ 1447800 w 2562225"/>
            <a:gd name="connsiteY2" fmla="*/ 904875 h 1257300"/>
            <a:gd name="connsiteX3" fmla="*/ 723900 w 2562225"/>
            <a:gd name="connsiteY3" fmla="*/ 1152525 h 1257300"/>
            <a:gd name="connsiteX4" fmla="*/ 0 w 2562225"/>
            <a:gd name="connsiteY4" fmla="*/ 1257300 h 1257300"/>
            <a:gd name="connsiteX5" fmla="*/ 0 w 2562225"/>
            <a:gd name="connsiteY5" fmla="*/ 1257300 h 1257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562225" h="1257300">
              <a:moveTo>
                <a:pt x="2562225" y="0"/>
              </a:moveTo>
              <a:cubicBezTo>
                <a:pt x="2488406" y="86519"/>
                <a:pt x="2414588" y="173038"/>
                <a:pt x="2228850" y="323850"/>
              </a:cubicBezTo>
              <a:cubicBezTo>
                <a:pt x="2043113" y="474663"/>
                <a:pt x="1698625" y="766762"/>
                <a:pt x="1447800" y="904875"/>
              </a:cubicBezTo>
              <a:cubicBezTo>
                <a:pt x="1196975" y="1042988"/>
                <a:pt x="965200" y="1093788"/>
                <a:pt x="723900" y="1152525"/>
              </a:cubicBezTo>
              <a:cubicBezTo>
                <a:pt x="482600" y="1211263"/>
                <a:pt x="0" y="1257300"/>
                <a:pt x="0" y="1257300"/>
              </a:cubicBezTo>
              <a:lnTo>
                <a:pt x="0" y="1257300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38100</xdr:colOff>
      <xdr:row>55</xdr:row>
      <xdr:rowOff>57150</xdr:rowOff>
    </xdr:from>
    <xdr:to>
      <xdr:col>7</xdr:col>
      <xdr:colOff>485775</xdr:colOff>
      <xdr:row>57</xdr:row>
      <xdr:rowOff>142875</xdr:rowOff>
    </xdr:to>
    <xdr:sp macro="" textlink="">
      <xdr:nvSpPr>
        <xdr:cNvPr id="64" name="TextBox 63"/>
        <xdr:cNvSpPr txBox="1"/>
      </xdr:nvSpPr>
      <xdr:spPr>
        <a:xfrm>
          <a:off x="3219450" y="10706100"/>
          <a:ext cx="16668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Top View of Disk Magnet</a:t>
          </a:r>
          <a:br>
            <a:rPr lang="en-US" sz="1100"/>
          </a:br>
          <a:r>
            <a:rPr lang="en-US" sz="1100"/>
            <a:t>       B field into page</a:t>
          </a:r>
        </a:p>
      </xdr:txBody>
    </xdr:sp>
    <xdr:clientData/>
  </xdr:twoCellAnchor>
  <xdr:twoCellAnchor>
    <xdr:from>
      <xdr:col>10</xdr:col>
      <xdr:colOff>523875</xdr:colOff>
      <xdr:row>24</xdr:row>
      <xdr:rowOff>114300</xdr:rowOff>
    </xdr:from>
    <xdr:to>
      <xdr:col>11</xdr:col>
      <xdr:colOff>285750</xdr:colOff>
      <xdr:row>24</xdr:row>
      <xdr:rowOff>115888</xdr:rowOff>
    </xdr:to>
    <xdr:cxnSp macro="">
      <xdr:nvCxnSpPr>
        <xdr:cNvPr id="34" name="Straight Connector 33"/>
        <xdr:cNvCxnSpPr/>
      </xdr:nvCxnSpPr>
      <xdr:spPr>
        <a:xfrm>
          <a:off x="6753225" y="4800600"/>
          <a:ext cx="3714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24</xdr:row>
      <xdr:rowOff>114300</xdr:rowOff>
    </xdr:from>
    <xdr:to>
      <xdr:col>12</xdr:col>
      <xdr:colOff>381000</xdr:colOff>
      <xdr:row>24</xdr:row>
      <xdr:rowOff>115888</xdr:rowOff>
    </xdr:to>
    <xdr:cxnSp macro="">
      <xdr:nvCxnSpPr>
        <xdr:cNvPr id="35" name="Straight Connector 34"/>
        <xdr:cNvCxnSpPr/>
      </xdr:nvCxnSpPr>
      <xdr:spPr>
        <a:xfrm>
          <a:off x="7458075" y="4800600"/>
          <a:ext cx="3714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26</xdr:row>
      <xdr:rowOff>114300</xdr:rowOff>
    </xdr:from>
    <xdr:to>
      <xdr:col>12</xdr:col>
      <xdr:colOff>0</xdr:colOff>
      <xdr:row>26</xdr:row>
      <xdr:rowOff>115888</xdr:rowOff>
    </xdr:to>
    <xdr:cxnSp macro="">
      <xdr:nvCxnSpPr>
        <xdr:cNvPr id="39" name="Straight Connector 38"/>
        <xdr:cNvCxnSpPr/>
      </xdr:nvCxnSpPr>
      <xdr:spPr>
        <a:xfrm>
          <a:off x="7134225" y="5181600"/>
          <a:ext cx="31432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27</xdr:row>
      <xdr:rowOff>76200</xdr:rowOff>
    </xdr:from>
    <xdr:to>
      <xdr:col>12</xdr:col>
      <xdr:colOff>0</xdr:colOff>
      <xdr:row>27</xdr:row>
      <xdr:rowOff>77788</xdr:rowOff>
    </xdr:to>
    <xdr:cxnSp macro="">
      <xdr:nvCxnSpPr>
        <xdr:cNvPr id="40" name="Straight Connector 39"/>
        <xdr:cNvCxnSpPr/>
      </xdr:nvCxnSpPr>
      <xdr:spPr>
        <a:xfrm>
          <a:off x="7134225" y="5334000"/>
          <a:ext cx="314325" cy="1588"/>
        </a:xfrm>
        <a:prstGeom prst="line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24</xdr:row>
      <xdr:rowOff>114300</xdr:rowOff>
    </xdr:from>
    <xdr:to>
      <xdr:col>11</xdr:col>
      <xdr:colOff>295274</xdr:colOff>
      <xdr:row>26</xdr:row>
      <xdr:rowOff>114300</xdr:rowOff>
    </xdr:to>
    <xdr:cxnSp macro="">
      <xdr:nvCxnSpPr>
        <xdr:cNvPr id="43" name="Straight Connector 42"/>
        <xdr:cNvCxnSpPr/>
      </xdr:nvCxnSpPr>
      <xdr:spPr>
        <a:xfrm rot="16200000" flipH="1">
          <a:off x="6938962" y="4986337"/>
          <a:ext cx="3810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609599</xdr:colOff>
      <xdr:row>24</xdr:row>
      <xdr:rowOff>114300</xdr:rowOff>
    </xdr:from>
    <xdr:to>
      <xdr:col>12</xdr:col>
      <xdr:colOff>9524</xdr:colOff>
      <xdr:row>26</xdr:row>
      <xdr:rowOff>114300</xdr:rowOff>
    </xdr:to>
    <xdr:cxnSp macro="">
      <xdr:nvCxnSpPr>
        <xdr:cNvPr id="44" name="Straight Connector 43"/>
        <xdr:cNvCxnSpPr/>
      </xdr:nvCxnSpPr>
      <xdr:spPr>
        <a:xfrm rot="16200000" flipH="1">
          <a:off x="7262812" y="4986337"/>
          <a:ext cx="3810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47</xdr:row>
      <xdr:rowOff>47626</xdr:rowOff>
    </xdr:from>
    <xdr:to>
      <xdr:col>8</xdr:col>
      <xdr:colOff>600075</xdr:colOff>
      <xdr:row>48</xdr:row>
      <xdr:rowOff>9526</xdr:rowOff>
    </xdr:to>
    <xdr:cxnSp macro="">
      <xdr:nvCxnSpPr>
        <xdr:cNvPr id="37" name="Straight Arrow Connector 36"/>
        <xdr:cNvCxnSpPr/>
      </xdr:nvCxnSpPr>
      <xdr:spPr>
        <a:xfrm rot="5400000">
          <a:off x="5462588" y="9177338"/>
          <a:ext cx="152400" cy="14287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55</xdr:row>
      <xdr:rowOff>114300</xdr:rowOff>
    </xdr:from>
    <xdr:to>
      <xdr:col>3</xdr:col>
      <xdr:colOff>466725</xdr:colOff>
      <xdr:row>55</xdr:row>
      <xdr:rowOff>115888</xdr:rowOff>
    </xdr:to>
    <xdr:cxnSp macro="">
      <xdr:nvCxnSpPr>
        <xdr:cNvPr id="52" name="Straight Arrow Connector 51"/>
        <xdr:cNvCxnSpPr/>
      </xdr:nvCxnSpPr>
      <xdr:spPr>
        <a:xfrm>
          <a:off x="1952625" y="10763250"/>
          <a:ext cx="4762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k.Dower\Downloads\GMtubePlatea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 mm Spec. Tech. tube"/>
      <sheetName val="12 mm Model 500 tube"/>
      <sheetName val="Sheet3"/>
    </sheetNames>
    <sheetDataSet>
      <sheetData sheetId="0">
        <row r="13">
          <cell r="A13">
            <v>820</v>
          </cell>
          <cell r="F13">
            <v>0</v>
          </cell>
        </row>
        <row r="14">
          <cell r="A14">
            <v>840</v>
          </cell>
          <cell r="F14">
            <v>7838.5</v>
          </cell>
        </row>
        <row r="15">
          <cell r="A15">
            <v>860</v>
          </cell>
          <cell r="F15">
            <v>15574</v>
          </cell>
        </row>
        <row r="16">
          <cell r="A16">
            <v>880</v>
          </cell>
          <cell r="F16">
            <v>16403.666666666668</v>
          </cell>
        </row>
        <row r="17">
          <cell r="A17">
            <v>900</v>
          </cell>
          <cell r="F17">
            <v>16869.666666666668</v>
          </cell>
        </row>
        <row r="18">
          <cell r="A18">
            <v>920</v>
          </cell>
          <cell r="F18">
            <v>17469.666666666668</v>
          </cell>
        </row>
        <row r="19">
          <cell r="A19">
            <v>940</v>
          </cell>
          <cell r="F19">
            <v>17636.333333333332</v>
          </cell>
        </row>
        <row r="20">
          <cell r="A20">
            <v>960</v>
          </cell>
          <cell r="F20">
            <v>18038</v>
          </cell>
        </row>
        <row r="21">
          <cell r="A21">
            <v>980</v>
          </cell>
          <cell r="F21">
            <v>18272.333333333332</v>
          </cell>
        </row>
        <row r="22">
          <cell r="A22">
            <v>1000</v>
          </cell>
          <cell r="F22">
            <v>18493</v>
          </cell>
        </row>
        <row r="23">
          <cell r="A23">
            <v>1020</v>
          </cell>
          <cell r="F23">
            <v>18682</v>
          </cell>
        </row>
        <row r="24">
          <cell r="A24">
            <v>1040</v>
          </cell>
          <cell r="F24">
            <v>19095</v>
          </cell>
        </row>
        <row r="25">
          <cell r="A25">
            <v>1060</v>
          </cell>
          <cell r="F25">
            <v>19379</v>
          </cell>
        </row>
        <row r="26">
          <cell r="A26">
            <v>1080</v>
          </cell>
          <cell r="F26">
            <v>19762</v>
          </cell>
        </row>
        <row r="27">
          <cell r="A27">
            <v>1100</v>
          </cell>
          <cell r="F27">
            <v>20025</v>
          </cell>
        </row>
        <row r="28">
          <cell r="A28">
            <v>1120</v>
          </cell>
          <cell r="F28">
            <v>20105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t2.lanl.gov/nis/data/astro/molnix96/massd.html" TargetMode="External"/><Relationship Id="rId1" Type="http://schemas.openxmlformats.org/officeDocument/2006/relationships/hyperlink" Target="mailto:rickdowe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ick.dower@roxburylatin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rick.dower@roxburylatin.or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rick.dower@roxburylatin.or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47" workbookViewId="0">
      <selection activeCell="F3" sqref="F3"/>
    </sheetView>
  </sheetViews>
  <sheetFormatPr defaultColWidth="8.88671875" defaultRowHeight="14.4" x14ac:dyDescent="0.3"/>
  <cols>
    <col min="1" max="1" width="13.44140625" customWidth="1"/>
    <col min="2" max="2" width="8.109375" customWidth="1"/>
    <col min="3" max="3" width="10.44140625" customWidth="1"/>
    <col min="4" max="4" width="12.6640625" customWidth="1"/>
    <col min="5" max="5" width="11.88671875" customWidth="1"/>
    <col min="6" max="6" width="11" customWidth="1"/>
    <col min="7" max="7" width="9.44140625" customWidth="1"/>
    <col min="8" max="8" width="9.6640625" bestFit="1" customWidth="1"/>
    <col min="9" max="9" width="21.109375" style="40" customWidth="1"/>
    <col min="10" max="10" width="8.44140625" customWidth="1"/>
    <col min="11" max="11" width="10.6640625" bestFit="1" customWidth="1"/>
    <col min="16" max="16" width="10.33203125" customWidth="1"/>
  </cols>
  <sheetData>
    <row r="1" spans="1:20" ht="18" x14ac:dyDescent="0.35">
      <c r="A1" s="6" t="s">
        <v>0</v>
      </c>
      <c r="F1" t="s">
        <v>1</v>
      </c>
    </row>
    <row r="2" spans="1:20" ht="18" x14ac:dyDescent="0.35">
      <c r="A2" s="6" t="s">
        <v>15</v>
      </c>
      <c r="F2" s="2" t="s">
        <v>163</v>
      </c>
    </row>
    <row r="3" spans="1:20" x14ac:dyDescent="0.3">
      <c r="F3" s="1">
        <v>40793</v>
      </c>
      <c r="G3" t="s">
        <v>59</v>
      </c>
    </row>
    <row r="4" spans="1:20" x14ac:dyDescent="0.3">
      <c r="F4" s="1">
        <v>40819</v>
      </c>
      <c r="G4" t="s">
        <v>60</v>
      </c>
    </row>
    <row r="5" spans="1:20" x14ac:dyDescent="0.3">
      <c r="A5" t="s">
        <v>3</v>
      </c>
    </row>
    <row r="6" spans="1:20" ht="15.6" x14ac:dyDescent="0.3">
      <c r="A6" s="20" t="s">
        <v>4</v>
      </c>
      <c r="E6" t="s">
        <v>5</v>
      </c>
    </row>
    <row r="7" spans="1:20" ht="16.8" x14ac:dyDescent="0.35">
      <c r="A7" t="s">
        <v>40</v>
      </c>
      <c r="B7" s="3">
        <v>0.51100000000000001</v>
      </c>
      <c r="C7" t="s">
        <v>41</v>
      </c>
      <c r="D7" t="s">
        <v>6</v>
      </c>
      <c r="E7" t="s">
        <v>85</v>
      </c>
    </row>
    <row r="8" spans="1:20" x14ac:dyDescent="0.3">
      <c r="A8" t="s">
        <v>8</v>
      </c>
      <c r="E8" t="s">
        <v>91</v>
      </c>
    </row>
    <row r="9" spans="1:20" x14ac:dyDescent="0.3">
      <c r="A9" t="s">
        <v>36</v>
      </c>
      <c r="B9" s="3">
        <v>6.2</v>
      </c>
      <c r="C9" t="s">
        <v>38</v>
      </c>
    </row>
    <row r="10" spans="1:20" x14ac:dyDescent="0.3">
      <c r="A10" t="s">
        <v>37</v>
      </c>
      <c r="B10" s="3">
        <v>6.9000000000000006E-2</v>
      </c>
      <c r="C10" t="s">
        <v>39</v>
      </c>
      <c r="D10" t="s">
        <v>80</v>
      </c>
    </row>
    <row r="11" spans="1:20" x14ac:dyDescent="0.3">
      <c r="A11" t="s">
        <v>50</v>
      </c>
    </row>
    <row r="12" spans="1:20" x14ac:dyDescent="0.3">
      <c r="A12" t="s">
        <v>7</v>
      </c>
    </row>
    <row r="13" spans="1:20" x14ac:dyDescent="0.3">
      <c r="A13" t="s">
        <v>28</v>
      </c>
      <c r="C13">
        <v>920</v>
      </c>
      <c r="D13" t="s">
        <v>27</v>
      </c>
    </row>
    <row r="14" spans="1:20" x14ac:dyDescent="0.3">
      <c r="A14" s="3" t="s">
        <v>9</v>
      </c>
      <c r="G14" s="47" t="s">
        <v>57</v>
      </c>
      <c r="H14" s="4" t="s">
        <v>45</v>
      </c>
    </row>
    <row r="15" spans="1:20" x14ac:dyDescent="0.3">
      <c r="A15" s="3" t="s">
        <v>35</v>
      </c>
      <c r="B15" s="3" t="s">
        <v>16</v>
      </c>
      <c r="C15" s="3" t="s">
        <v>16</v>
      </c>
      <c r="D15" s="19" t="s">
        <v>22</v>
      </c>
      <c r="E15" s="3" t="s">
        <v>23</v>
      </c>
      <c r="F15" s="39" t="s">
        <v>43</v>
      </c>
      <c r="G15" s="39" t="s">
        <v>58</v>
      </c>
      <c r="H15" s="3" t="s">
        <v>46</v>
      </c>
      <c r="I15" s="13" t="s">
        <v>48</v>
      </c>
      <c r="N15" s="4" t="s">
        <v>19</v>
      </c>
      <c r="P15" s="9"/>
      <c r="S15" s="4" t="s">
        <v>19</v>
      </c>
    </row>
    <row r="16" spans="1:20" x14ac:dyDescent="0.3">
      <c r="A16" s="3" t="s">
        <v>10</v>
      </c>
      <c r="B16" s="4" t="s">
        <v>12</v>
      </c>
      <c r="C16" s="4" t="s">
        <v>13</v>
      </c>
      <c r="D16" s="4" t="s">
        <v>14</v>
      </c>
      <c r="E16" s="4" t="s">
        <v>14</v>
      </c>
      <c r="F16" s="4" t="s">
        <v>44</v>
      </c>
      <c r="G16" s="4" t="s">
        <v>42</v>
      </c>
      <c r="H16" s="4" t="s">
        <v>47</v>
      </c>
      <c r="I16" s="42" t="s">
        <v>49</v>
      </c>
      <c r="K16" s="3" t="s">
        <v>11</v>
      </c>
      <c r="L16" s="3" t="s">
        <v>17</v>
      </c>
      <c r="M16" s="3" t="s">
        <v>18</v>
      </c>
      <c r="N16" s="4" t="s">
        <v>20</v>
      </c>
      <c r="O16" s="4" t="s">
        <v>13</v>
      </c>
      <c r="P16" s="10" t="s">
        <v>11</v>
      </c>
      <c r="Q16" s="3" t="s">
        <v>17</v>
      </c>
      <c r="R16" s="3" t="s">
        <v>18</v>
      </c>
      <c r="S16" s="4" t="s">
        <v>20</v>
      </c>
      <c r="T16" s="4" t="s">
        <v>13</v>
      </c>
    </row>
    <row r="17" spans="1:20" x14ac:dyDescent="0.3">
      <c r="A17" s="3">
        <v>-100</v>
      </c>
      <c r="B17" s="3">
        <f t="shared" ref="B17:B55" si="0">N17+S17</f>
        <v>226</v>
      </c>
      <c r="C17" s="3">
        <f t="shared" ref="C17:C55" si="1">O17+T17</f>
        <v>18447</v>
      </c>
      <c r="D17" s="13">
        <f t="shared" ref="D17:D55" si="2">IF(B17=0, 0, (C17/B17))</f>
        <v>81.623893805309734</v>
      </c>
      <c r="E17" s="13">
        <f>D17-$D$57</f>
        <v>67.27389380530974</v>
      </c>
      <c r="F17" s="13">
        <f>($B$9/2)/TAN(ABS(RADIANS(A17)/2))</f>
        <v>2.6012088566495679</v>
      </c>
      <c r="G17" s="13">
        <f>$B$7*(SQRT((3*$B$10*F17/$B$7)^2+1)-1)</f>
        <v>0.23132718781499559</v>
      </c>
      <c r="K17" s="5">
        <v>40801</v>
      </c>
      <c r="L17" s="7">
        <v>0.53819444444444442</v>
      </c>
      <c r="M17" s="7">
        <v>0.62430555555555556</v>
      </c>
      <c r="N17" s="4">
        <v>124</v>
      </c>
      <c r="O17" s="4">
        <v>10246</v>
      </c>
      <c r="P17" s="11">
        <v>40802</v>
      </c>
      <c r="Q17" s="7">
        <v>0.41944444444444445</v>
      </c>
      <c r="R17" s="8">
        <v>0.49027777777777781</v>
      </c>
      <c r="S17" s="4">
        <v>102</v>
      </c>
      <c r="T17" s="4">
        <v>8201</v>
      </c>
    </row>
    <row r="18" spans="1:20" x14ac:dyDescent="0.3">
      <c r="A18" s="3">
        <f t="shared" ref="A18:A55" si="3">A17+5</f>
        <v>-95</v>
      </c>
      <c r="B18" s="3">
        <f t="shared" si="0"/>
        <v>163</v>
      </c>
      <c r="C18" s="3">
        <f t="shared" si="1"/>
        <v>13105</v>
      </c>
      <c r="D18" s="13">
        <f t="shared" si="2"/>
        <v>80.398773006134974</v>
      </c>
      <c r="E18" s="13">
        <f t="shared" ref="E18:E36" si="4">D18-$D$57</f>
        <v>66.048773006134979</v>
      </c>
      <c r="F18" s="13">
        <f t="shared" ref="F18:F36" si="5">($B$9/2)/TAN(ABS(RADIANS(A18)/2))</f>
        <v>2.8406266394540127</v>
      </c>
      <c r="G18" s="13">
        <f t="shared" ref="G18:G36" si="6">$B$7*(SQRT((3*$B$10*F18/$B$7)^2+1)-1)</f>
        <v>0.26802273663221038</v>
      </c>
      <c r="H18" s="41">
        <f>(G18-G17)</f>
        <v>3.669554881721479E-2</v>
      </c>
      <c r="I18" s="36">
        <f>E18/H18</f>
        <v>1799.912390876952</v>
      </c>
      <c r="J18" s="13"/>
      <c r="K18" s="5">
        <v>40801</v>
      </c>
      <c r="L18" s="7">
        <v>0.62638888888888888</v>
      </c>
      <c r="M18" s="7">
        <v>0.72013888888888899</v>
      </c>
      <c r="N18" s="4">
        <v>135</v>
      </c>
      <c r="O18" s="4">
        <v>10879</v>
      </c>
      <c r="P18" s="11">
        <v>40802</v>
      </c>
      <c r="Q18" s="7">
        <v>0.39930555555555558</v>
      </c>
      <c r="R18" s="8">
        <v>0.41875000000000001</v>
      </c>
      <c r="S18" s="4">
        <v>28</v>
      </c>
      <c r="T18" s="4">
        <v>2226</v>
      </c>
    </row>
    <row r="19" spans="1:20" x14ac:dyDescent="0.3">
      <c r="A19" s="3">
        <f t="shared" si="3"/>
        <v>-90</v>
      </c>
      <c r="B19" s="3">
        <f t="shared" si="0"/>
        <v>170</v>
      </c>
      <c r="C19" s="3">
        <f t="shared" si="1"/>
        <v>13019</v>
      </c>
      <c r="D19" s="13">
        <f t="shared" si="2"/>
        <v>76.582352941176467</v>
      </c>
      <c r="E19" s="13">
        <f t="shared" si="4"/>
        <v>62.232352941176465</v>
      </c>
      <c r="F19" s="13">
        <f t="shared" si="5"/>
        <v>3.1000000000000005</v>
      </c>
      <c r="G19" s="13">
        <f t="shared" si="6"/>
        <v>0.30930475434438398</v>
      </c>
      <c r="H19" s="41">
        <f t="shared" ref="H19:H36" si="7">(G19-G18)</f>
        <v>4.1282017712173602E-2</v>
      </c>
      <c r="I19" s="36">
        <f t="shared" ref="I19:I36" si="8">E19/H19</f>
        <v>1507.4930051886695</v>
      </c>
      <c r="J19" s="13"/>
      <c r="K19" s="5">
        <v>40793</v>
      </c>
      <c r="L19" s="8">
        <v>0.58402777777777781</v>
      </c>
      <c r="M19" s="7">
        <v>0.7090277777777777</v>
      </c>
      <c r="N19" s="3">
        <f>60</f>
        <v>60</v>
      </c>
      <c r="O19" s="3">
        <f>4818</f>
        <v>4818</v>
      </c>
      <c r="P19" s="11">
        <v>40802</v>
      </c>
      <c r="Q19" s="7">
        <v>0.3215277777777778</v>
      </c>
      <c r="R19" s="8">
        <v>0.3979166666666667</v>
      </c>
      <c r="S19" s="3">
        <v>110</v>
      </c>
      <c r="T19" s="3">
        <v>8201</v>
      </c>
    </row>
    <row r="20" spans="1:20" x14ac:dyDescent="0.3">
      <c r="A20" s="3">
        <f t="shared" si="3"/>
        <v>-85</v>
      </c>
      <c r="B20" s="3">
        <f t="shared" si="0"/>
        <v>323</v>
      </c>
      <c r="C20" s="3">
        <f t="shared" si="1"/>
        <v>17875</v>
      </c>
      <c r="D20" s="13">
        <f t="shared" si="2"/>
        <v>55.340557275541798</v>
      </c>
      <c r="E20" s="13">
        <f t="shared" si="4"/>
        <v>40.990557275541796</v>
      </c>
      <c r="F20" s="13">
        <f t="shared" si="5"/>
        <v>3.3830563533147413</v>
      </c>
      <c r="G20" s="13">
        <f t="shared" si="6"/>
        <v>0.35590877077319627</v>
      </c>
      <c r="H20" s="41">
        <f t="shared" si="7"/>
        <v>4.6604016428812289E-2</v>
      </c>
      <c r="I20" s="36">
        <f t="shared" si="8"/>
        <v>879.54988467903706</v>
      </c>
      <c r="J20" s="13"/>
      <c r="K20" s="5">
        <v>40802</v>
      </c>
      <c r="L20" s="7">
        <v>0.4909722222222222</v>
      </c>
      <c r="M20" s="7">
        <v>0.71805555555555556</v>
      </c>
      <c r="N20" s="3">
        <v>323</v>
      </c>
      <c r="O20" s="3">
        <v>17875</v>
      </c>
      <c r="P20" s="10"/>
      <c r="Q20" s="3"/>
      <c r="R20" s="8"/>
      <c r="S20" s="3"/>
      <c r="T20" s="3"/>
    </row>
    <row r="21" spans="1:20" x14ac:dyDescent="0.3">
      <c r="A21" s="3">
        <f t="shared" si="3"/>
        <v>-80</v>
      </c>
      <c r="B21" s="3">
        <f t="shared" si="0"/>
        <v>288</v>
      </c>
      <c r="C21" s="3">
        <f t="shared" si="1"/>
        <v>11760</v>
      </c>
      <c r="D21" s="13">
        <f t="shared" si="2"/>
        <v>40.833333333333336</v>
      </c>
      <c r="E21" s="13">
        <f t="shared" si="4"/>
        <v>26.483333333333334</v>
      </c>
      <c r="F21" s="13">
        <f t="shared" si="5"/>
        <v>3.6944361370420515</v>
      </c>
      <c r="G21" s="13">
        <f t="shared" si="6"/>
        <v>0.40876134530940222</v>
      </c>
      <c r="H21" s="41">
        <f t="shared" si="7"/>
        <v>5.2852574536205954E-2</v>
      </c>
      <c r="I21" s="36">
        <f t="shared" si="8"/>
        <v>501.07934316787686</v>
      </c>
      <c r="J21" s="13"/>
      <c r="K21" s="5">
        <v>40794</v>
      </c>
      <c r="L21" s="7">
        <v>0.28055555555555556</v>
      </c>
      <c r="M21" s="7">
        <v>0.32222222222222224</v>
      </c>
      <c r="N21" s="3">
        <v>60</v>
      </c>
      <c r="O21" s="3">
        <v>2823</v>
      </c>
      <c r="P21" s="11">
        <v>40805</v>
      </c>
      <c r="Q21" s="7">
        <v>0.5229166666666667</v>
      </c>
      <c r="R21" s="8">
        <v>0.68125000000000002</v>
      </c>
      <c r="S21" s="3">
        <v>228</v>
      </c>
      <c r="T21" s="3">
        <v>8937</v>
      </c>
    </row>
    <row r="22" spans="1:20" x14ac:dyDescent="0.3">
      <c r="A22" s="3">
        <f t="shared" si="3"/>
        <v>-75</v>
      </c>
      <c r="B22" s="3">
        <f t="shared" si="0"/>
        <v>445</v>
      </c>
      <c r="C22" s="3">
        <f t="shared" si="1"/>
        <v>12349</v>
      </c>
      <c r="D22" s="13">
        <f t="shared" si="2"/>
        <v>27.750561797752809</v>
      </c>
      <c r="E22" s="13">
        <f t="shared" si="4"/>
        <v>13.400561797752809</v>
      </c>
      <c r="F22" s="13">
        <f t="shared" si="5"/>
        <v>4.0399986558077376</v>
      </c>
      <c r="G22" s="13">
        <f t="shared" si="6"/>
        <v>0.46904325058333007</v>
      </c>
      <c r="H22" s="41">
        <f t="shared" si="7"/>
        <v>6.0281905273927849E-2</v>
      </c>
      <c r="I22" s="36">
        <f t="shared" si="8"/>
        <v>222.29824583113503</v>
      </c>
      <c r="J22" s="13"/>
      <c r="K22" s="5">
        <v>40806</v>
      </c>
      <c r="L22" s="7">
        <v>0.32847222222222222</v>
      </c>
      <c r="M22" s="7">
        <v>0.63750000000000007</v>
      </c>
      <c r="N22" s="3">
        <v>445</v>
      </c>
      <c r="O22" s="3">
        <v>12349</v>
      </c>
      <c r="P22" s="10"/>
      <c r="Q22" s="3"/>
      <c r="R22" s="8"/>
      <c r="S22" s="3"/>
      <c r="T22" s="3"/>
    </row>
    <row r="23" spans="1:20" x14ac:dyDescent="0.3">
      <c r="A23" s="3">
        <f t="shared" si="3"/>
        <v>-70</v>
      </c>
      <c r="B23" s="3">
        <f t="shared" si="0"/>
        <v>904</v>
      </c>
      <c r="C23" s="3">
        <f t="shared" si="1"/>
        <v>18675</v>
      </c>
      <c r="D23" s="13">
        <f t="shared" si="2"/>
        <v>20.658185840707965</v>
      </c>
      <c r="E23" s="13">
        <f t="shared" si="4"/>
        <v>6.3081858407079654</v>
      </c>
      <c r="F23" s="13">
        <f t="shared" si="5"/>
        <v>4.4272588209005557</v>
      </c>
      <c r="G23" s="13">
        <f t="shared" si="6"/>
        <v>0.5382797505768625</v>
      </c>
      <c r="H23" s="41">
        <f t="shared" si="7"/>
        <v>6.923649999353243E-2</v>
      </c>
      <c r="I23" s="36">
        <f t="shared" si="8"/>
        <v>91.110697988737584</v>
      </c>
      <c r="J23" s="13"/>
      <c r="K23" s="5">
        <v>40794</v>
      </c>
      <c r="L23" s="7">
        <v>0.32430555555555557</v>
      </c>
      <c r="M23" s="7">
        <v>0.3659722222222222</v>
      </c>
      <c r="N23" s="3">
        <v>60</v>
      </c>
      <c r="O23" s="3">
        <v>1441</v>
      </c>
      <c r="P23" s="11">
        <v>40806</v>
      </c>
      <c r="Q23" s="7">
        <v>0.7680555555555556</v>
      </c>
      <c r="R23" s="8">
        <v>1.3541666666666667</v>
      </c>
      <c r="S23" s="3">
        <v>844</v>
      </c>
      <c r="T23" s="3">
        <v>17234</v>
      </c>
    </row>
    <row r="24" spans="1:20" x14ac:dyDescent="0.3">
      <c r="A24" s="3">
        <f t="shared" si="3"/>
        <v>-65</v>
      </c>
      <c r="B24" s="3">
        <f t="shared" si="0"/>
        <v>798</v>
      </c>
      <c r="C24" s="3">
        <f t="shared" si="1"/>
        <v>13481</v>
      </c>
      <c r="D24" s="13">
        <f t="shared" si="2"/>
        <v>16.893483709273184</v>
      </c>
      <c r="E24" s="13">
        <f t="shared" si="4"/>
        <v>2.5434837092731843</v>
      </c>
      <c r="F24" s="13">
        <f t="shared" si="5"/>
        <v>4.8660252890642202</v>
      </c>
      <c r="G24" s="13">
        <f t="shared" si="6"/>
        <v>0.6184725682258746</v>
      </c>
      <c r="H24" s="41">
        <f t="shared" si="7"/>
        <v>8.0192817649012094E-2</v>
      </c>
      <c r="I24" s="36">
        <f t="shared" si="8"/>
        <v>31.71710115493763</v>
      </c>
      <c r="J24" s="13"/>
      <c r="K24" s="5">
        <v>40807</v>
      </c>
      <c r="L24" s="7">
        <v>0.35555555555555557</v>
      </c>
      <c r="M24" s="7">
        <v>0.70763888888888893</v>
      </c>
      <c r="N24" s="3">
        <v>507</v>
      </c>
      <c r="O24" s="3">
        <v>8763</v>
      </c>
      <c r="P24" s="11">
        <v>40808</v>
      </c>
      <c r="Q24" s="7">
        <v>0.5229166666666667</v>
      </c>
      <c r="R24" s="8">
        <v>0.72499999999999998</v>
      </c>
      <c r="S24" s="3">
        <v>291</v>
      </c>
      <c r="T24" s="3">
        <v>4718</v>
      </c>
    </row>
    <row r="25" spans="1:20" x14ac:dyDescent="0.3">
      <c r="A25" s="3">
        <f t="shared" si="3"/>
        <v>-60</v>
      </c>
      <c r="B25" s="3">
        <f t="shared" si="0"/>
        <v>1028</v>
      </c>
      <c r="C25" s="3">
        <f t="shared" si="1"/>
        <v>15989</v>
      </c>
      <c r="D25" s="13">
        <f t="shared" si="2"/>
        <v>15.553501945525293</v>
      </c>
      <c r="E25" s="13">
        <f t="shared" si="4"/>
        <v>1.2035019455252929</v>
      </c>
      <c r="F25" s="13">
        <f t="shared" si="5"/>
        <v>5.3693575034635197</v>
      </c>
      <c r="G25" s="13">
        <f t="shared" si="6"/>
        <v>0.71229786642501747</v>
      </c>
      <c r="H25" s="41">
        <f t="shared" si="7"/>
        <v>9.382529819914287E-2</v>
      </c>
      <c r="I25" s="36">
        <f t="shared" si="8"/>
        <v>12.827051644119233</v>
      </c>
      <c r="J25" s="13"/>
      <c r="K25" s="5">
        <v>40794</v>
      </c>
      <c r="L25" s="7">
        <v>0.37291666666666662</v>
      </c>
      <c r="M25" s="7">
        <v>0.45624999999999999</v>
      </c>
      <c r="N25" s="3">
        <v>120</v>
      </c>
      <c r="O25" s="3">
        <v>1974</v>
      </c>
      <c r="P25" s="11">
        <v>40807</v>
      </c>
      <c r="Q25" s="7">
        <v>0.70833333333333337</v>
      </c>
      <c r="R25" s="8">
        <v>1.3388888888888888</v>
      </c>
      <c r="S25" s="3">
        <v>908</v>
      </c>
      <c r="T25" s="3">
        <v>14015</v>
      </c>
    </row>
    <row r="26" spans="1:20" x14ac:dyDescent="0.3">
      <c r="A26" s="3">
        <f t="shared" si="3"/>
        <v>-55</v>
      </c>
      <c r="B26" s="3">
        <f t="shared" si="0"/>
        <v>812</v>
      </c>
      <c r="C26" s="3">
        <f t="shared" si="1"/>
        <v>11789</v>
      </c>
      <c r="D26" s="13">
        <f t="shared" si="2"/>
        <v>14.518472906403941</v>
      </c>
      <c r="E26" s="13">
        <f t="shared" si="4"/>
        <v>0.16847290640394164</v>
      </c>
      <c r="F26" s="13">
        <f t="shared" si="5"/>
        <v>5.9550445936106149</v>
      </c>
      <c r="G26" s="13">
        <f t="shared" si="6"/>
        <v>0.82341225520392236</v>
      </c>
      <c r="H26" s="41">
        <f t="shared" si="7"/>
        <v>0.11111438877890489</v>
      </c>
      <c r="I26" s="60">
        <f t="shared" si="8"/>
        <v>1.5162114308990942</v>
      </c>
      <c r="K26" s="5">
        <v>40808</v>
      </c>
      <c r="L26" s="7">
        <v>0.33958333333333335</v>
      </c>
      <c r="M26" s="7">
        <v>0.52222222222222225</v>
      </c>
      <c r="N26" s="3">
        <v>263</v>
      </c>
      <c r="O26" s="3">
        <v>3817</v>
      </c>
      <c r="P26" s="11">
        <v>40809</v>
      </c>
      <c r="Q26" s="7">
        <v>0.30555555555555552</v>
      </c>
      <c r="R26" s="8">
        <v>0.68680555555555556</v>
      </c>
      <c r="S26" s="3">
        <v>549</v>
      </c>
      <c r="T26" s="3">
        <v>7972</v>
      </c>
    </row>
    <row r="27" spans="1:20" x14ac:dyDescent="0.3">
      <c r="A27" s="3">
        <f t="shared" si="3"/>
        <v>-50</v>
      </c>
      <c r="B27" s="3">
        <f t="shared" si="0"/>
        <v>922</v>
      </c>
      <c r="C27" s="3">
        <f t="shared" si="1"/>
        <v>13141</v>
      </c>
      <c r="D27" s="13">
        <f t="shared" si="2"/>
        <v>14.252711496746205</v>
      </c>
      <c r="E27" s="13">
        <f t="shared" si="4"/>
        <v>-9.72885032537949E-2</v>
      </c>
      <c r="F27" s="13">
        <f t="shared" si="5"/>
        <v>6.6479714535796317</v>
      </c>
      <c r="G27" s="13">
        <f t="shared" si="6"/>
        <v>0.9569424467790375</v>
      </c>
      <c r="H27" s="41">
        <f t="shared" si="7"/>
        <v>0.13353019157511514</v>
      </c>
      <c r="I27" s="60">
        <f t="shared" si="8"/>
        <v>-0.72858806016965016</v>
      </c>
      <c r="K27" s="5">
        <v>40794</v>
      </c>
      <c r="L27" s="7">
        <v>0.47638888888888892</v>
      </c>
      <c r="M27" s="7">
        <v>0.53888888888888886</v>
      </c>
      <c r="N27" s="3">
        <v>90</v>
      </c>
      <c r="O27" s="3">
        <v>1320</v>
      </c>
      <c r="P27" s="11">
        <v>40808</v>
      </c>
      <c r="Q27" s="7">
        <v>0.72569444444444453</v>
      </c>
      <c r="R27" s="8">
        <v>1.3034722222222224</v>
      </c>
      <c r="S27" s="3">
        <v>832</v>
      </c>
      <c r="T27" s="3">
        <v>11821</v>
      </c>
    </row>
    <row r="28" spans="1:20" x14ac:dyDescent="0.3">
      <c r="A28" s="3">
        <f t="shared" si="3"/>
        <v>-45</v>
      </c>
      <c r="B28" s="3">
        <f t="shared" si="0"/>
        <v>1195</v>
      </c>
      <c r="C28" s="3">
        <f t="shared" si="1"/>
        <v>16748</v>
      </c>
      <c r="D28" s="13">
        <f t="shared" si="2"/>
        <v>14.015062761506275</v>
      </c>
      <c r="E28" s="13">
        <f t="shared" si="4"/>
        <v>-0.33493723849372437</v>
      </c>
      <c r="F28" s="13">
        <f t="shared" si="5"/>
        <v>7.4840620433565954</v>
      </c>
      <c r="G28" s="13">
        <f t="shared" si="6"/>
        <v>1.1203013982320613</v>
      </c>
      <c r="H28" s="41">
        <f t="shared" si="7"/>
        <v>0.16335895145302382</v>
      </c>
      <c r="I28" s="60">
        <f t="shared" si="8"/>
        <v>-2.0503145711610444</v>
      </c>
      <c r="K28" s="5">
        <v>40809</v>
      </c>
      <c r="L28" s="7">
        <v>0.69166666666666676</v>
      </c>
      <c r="M28" s="12">
        <v>0.52152777777777781</v>
      </c>
      <c r="N28" s="3">
        <v>1195</v>
      </c>
      <c r="O28" s="3">
        <v>16748</v>
      </c>
      <c r="P28" s="10"/>
      <c r="Q28" s="3"/>
      <c r="R28" s="8"/>
      <c r="S28" s="3"/>
      <c r="T28" s="3"/>
    </row>
    <row r="29" spans="1:20" x14ac:dyDescent="0.3">
      <c r="A29" s="3">
        <f t="shared" si="3"/>
        <v>-40</v>
      </c>
      <c r="B29" s="3">
        <f t="shared" si="0"/>
        <v>740</v>
      </c>
      <c r="C29" s="3">
        <f t="shared" si="1"/>
        <v>10375</v>
      </c>
      <c r="D29" s="13">
        <f t="shared" si="2"/>
        <v>14.02027027027027</v>
      </c>
      <c r="E29" s="13">
        <f t="shared" si="4"/>
        <v>-0.32972972972972947</v>
      </c>
      <c r="F29" s="13">
        <f t="shared" si="5"/>
        <v>8.5171800003093292</v>
      </c>
      <c r="G29" s="13">
        <f t="shared" si="6"/>
        <v>1.3246166201445688</v>
      </c>
      <c r="H29" s="41">
        <f t="shared" si="7"/>
        <v>0.20431522191250751</v>
      </c>
      <c r="I29" s="60">
        <f t="shared" si="8"/>
        <v>-1.6138285079460568</v>
      </c>
      <c r="J29" s="13"/>
      <c r="K29" s="5">
        <v>40794</v>
      </c>
      <c r="L29" s="7">
        <v>0.5395833333333333</v>
      </c>
      <c r="M29" s="7">
        <v>0.11597222222222221</v>
      </c>
      <c r="N29" s="3">
        <v>110</v>
      </c>
      <c r="O29" s="3">
        <v>1481</v>
      </c>
      <c r="P29" s="11">
        <v>40812</v>
      </c>
      <c r="Q29" s="7">
        <v>0.31041666666666667</v>
      </c>
      <c r="R29" s="8">
        <v>0.74791666666666667</v>
      </c>
      <c r="S29" s="3">
        <v>630</v>
      </c>
      <c r="T29" s="3">
        <v>8894</v>
      </c>
    </row>
    <row r="30" spans="1:20" x14ac:dyDescent="0.3">
      <c r="A30" s="3">
        <f t="shared" si="3"/>
        <v>-35</v>
      </c>
      <c r="B30" s="3">
        <f t="shared" si="0"/>
        <v>844</v>
      </c>
      <c r="C30" s="3">
        <f t="shared" si="1"/>
        <v>12115</v>
      </c>
      <c r="D30" s="13">
        <f t="shared" si="2"/>
        <v>14.354265402843602</v>
      </c>
      <c r="E30" s="13">
        <f t="shared" si="4"/>
        <v>4.2654028436022173E-3</v>
      </c>
      <c r="F30" s="13">
        <f t="shared" si="5"/>
        <v>9.8319438873259593</v>
      </c>
      <c r="G30" s="13">
        <f t="shared" si="6"/>
        <v>1.5873828179673266</v>
      </c>
      <c r="H30" s="41">
        <f t="shared" si="7"/>
        <v>0.26276619782275779</v>
      </c>
      <c r="I30" s="60">
        <f t="shared" si="8"/>
        <v>1.6232692328559457E-2</v>
      </c>
      <c r="J30" s="13"/>
      <c r="K30" s="5">
        <v>40812</v>
      </c>
      <c r="L30" s="7">
        <v>0.70694444444444438</v>
      </c>
      <c r="M30" s="7">
        <v>0.29305555555555557</v>
      </c>
      <c r="N30" s="3">
        <v>844</v>
      </c>
      <c r="O30" s="3">
        <v>12115</v>
      </c>
      <c r="P30" s="10"/>
      <c r="Q30" s="3"/>
      <c r="R30" s="8"/>
      <c r="S30" s="3"/>
      <c r="T30" s="3"/>
    </row>
    <row r="31" spans="1:20" x14ac:dyDescent="0.3">
      <c r="A31" s="3">
        <f t="shared" si="3"/>
        <v>-30</v>
      </c>
      <c r="B31" s="3">
        <f t="shared" si="0"/>
        <v>767</v>
      </c>
      <c r="C31" s="3">
        <f t="shared" si="1"/>
        <v>10791</v>
      </c>
      <c r="D31" s="13">
        <f t="shared" si="2"/>
        <v>14.06910039113429</v>
      </c>
      <c r="E31" s="13">
        <f t="shared" si="4"/>
        <v>-0.28089960886570964</v>
      </c>
      <c r="F31" s="13">
        <f t="shared" si="5"/>
        <v>11.56935750346352</v>
      </c>
      <c r="G31" s="13">
        <f t="shared" si="6"/>
        <v>1.9377672543255851</v>
      </c>
      <c r="H31" s="41">
        <f t="shared" si="7"/>
        <v>0.35038443635825844</v>
      </c>
      <c r="I31" s="60">
        <f t="shared" si="8"/>
        <v>-0.8016897433723269</v>
      </c>
      <c r="J31" s="13"/>
      <c r="K31" s="5">
        <v>40795</v>
      </c>
      <c r="L31" s="7">
        <v>0.3298611111111111</v>
      </c>
      <c r="M31" s="7">
        <v>0.37152777777777773</v>
      </c>
      <c r="N31" s="3">
        <v>60</v>
      </c>
      <c r="O31" s="3">
        <v>848</v>
      </c>
      <c r="P31" s="11">
        <v>40814</v>
      </c>
      <c r="Q31" s="7">
        <v>0.29722222222222222</v>
      </c>
      <c r="R31" s="8">
        <v>0.78819444444444453</v>
      </c>
      <c r="S31" s="3">
        <f>637+70</f>
        <v>707</v>
      </c>
      <c r="T31" s="3">
        <f>8951+992</f>
        <v>9943</v>
      </c>
    </row>
    <row r="32" spans="1:20" x14ac:dyDescent="0.3">
      <c r="A32" s="3">
        <f t="shared" si="3"/>
        <v>-25</v>
      </c>
      <c r="B32" s="3">
        <f t="shared" si="0"/>
        <v>933</v>
      </c>
      <c r="C32" s="3">
        <f t="shared" si="1"/>
        <v>12907</v>
      </c>
      <c r="D32" s="13">
        <f t="shared" si="2"/>
        <v>13.833869239013934</v>
      </c>
      <c r="E32" s="13">
        <f t="shared" si="4"/>
        <v>-0.5161307609860657</v>
      </c>
      <c r="F32" s="13">
        <f t="shared" si="5"/>
        <v>13.983196361352379</v>
      </c>
      <c r="G32" s="13">
        <f t="shared" si="6"/>
        <v>2.4282816407744003</v>
      </c>
      <c r="H32" s="41">
        <f t="shared" si="7"/>
        <v>0.49051438644881529</v>
      </c>
      <c r="I32" s="60">
        <f t="shared" si="8"/>
        <v>-1.0522234928168075</v>
      </c>
      <c r="J32" s="13"/>
      <c r="K32" s="5">
        <v>40813</v>
      </c>
      <c r="L32" s="7">
        <v>0.33611111111111108</v>
      </c>
      <c r="M32" s="7">
        <v>0.67152777777777783</v>
      </c>
      <c r="N32" s="3">
        <v>483</v>
      </c>
      <c r="O32" s="3">
        <v>6689</v>
      </c>
      <c r="P32" s="11">
        <v>40815</v>
      </c>
      <c r="Q32" s="7">
        <v>0.35833333333333334</v>
      </c>
      <c r="R32" s="8">
        <v>0.67083333333333339</v>
      </c>
      <c r="S32" s="3">
        <v>450</v>
      </c>
      <c r="T32" s="3">
        <v>6218</v>
      </c>
    </row>
    <row r="33" spans="1:20" x14ac:dyDescent="0.3">
      <c r="A33" s="3">
        <f t="shared" si="3"/>
        <v>-20</v>
      </c>
      <c r="B33" s="3">
        <f t="shared" si="0"/>
        <v>1101</v>
      </c>
      <c r="C33" s="3">
        <f t="shared" si="1"/>
        <v>15378</v>
      </c>
      <c r="D33" s="13">
        <f t="shared" si="2"/>
        <v>13.967302452316076</v>
      </c>
      <c r="E33" s="13">
        <f t="shared" si="4"/>
        <v>-0.38269754768392339</v>
      </c>
      <c r="F33" s="13">
        <f t="shared" si="5"/>
        <v>17.5809736408149</v>
      </c>
      <c r="G33" s="13">
        <f t="shared" si="6"/>
        <v>3.1639619838959154</v>
      </c>
      <c r="H33" s="41">
        <f t="shared" si="7"/>
        <v>0.73568034312151509</v>
      </c>
      <c r="I33" s="60">
        <f t="shared" si="8"/>
        <v>-0.52019542354513038</v>
      </c>
      <c r="J33" s="13"/>
      <c r="K33" s="5">
        <v>40795</v>
      </c>
      <c r="L33" s="7">
        <v>0.37361111111111112</v>
      </c>
      <c r="M33" s="7">
        <v>0.4916666666666667</v>
      </c>
      <c r="N33" s="3">
        <v>170</v>
      </c>
      <c r="O33" s="3">
        <v>2271</v>
      </c>
      <c r="P33" s="11">
        <v>40815</v>
      </c>
      <c r="Q33" s="14">
        <v>0.67291666666666661</v>
      </c>
      <c r="R33" s="8">
        <v>0.31944444444444448</v>
      </c>
      <c r="S33" s="3">
        <v>931</v>
      </c>
      <c r="T33" s="3">
        <v>13107</v>
      </c>
    </row>
    <row r="34" spans="1:20" x14ac:dyDescent="0.3">
      <c r="A34" s="3">
        <f t="shared" si="3"/>
        <v>-15</v>
      </c>
      <c r="B34" s="3">
        <f t="shared" si="0"/>
        <v>897</v>
      </c>
      <c r="C34" s="3">
        <f t="shared" si="1"/>
        <v>12565</v>
      </c>
      <c r="D34" s="13">
        <f t="shared" si="2"/>
        <v>14.007803790412487</v>
      </c>
      <c r="E34" s="13">
        <f t="shared" si="4"/>
        <v>-0.34219620958751307</v>
      </c>
      <c r="F34" s="13">
        <f t="shared" si="5"/>
        <v>23.54683774944797</v>
      </c>
      <c r="G34" s="13">
        <f t="shared" si="6"/>
        <v>4.3899082765526005</v>
      </c>
      <c r="H34" s="41">
        <f t="shared" si="7"/>
        <v>1.2259462926566851</v>
      </c>
      <c r="I34" s="60">
        <f t="shared" si="8"/>
        <v>-0.27912822253082331</v>
      </c>
      <c r="J34" s="13"/>
      <c r="K34" s="5">
        <v>40813</v>
      </c>
      <c r="L34" s="7">
        <v>0.67291666666666661</v>
      </c>
      <c r="M34" s="7">
        <v>0.29583333333333334</v>
      </c>
      <c r="N34" s="3">
        <v>897</v>
      </c>
      <c r="O34" s="3">
        <v>12565</v>
      </c>
      <c r="P34" s="10"/>
      <c r="Q34" s="3"/>
      <c r="R34" s="8"/>
      <c r="S34" s="3"/>
      <c r="T34" s="3"/>
    </row>
    <row r="35" spans="1:20" x14ac:dyDescent="0.3">
      <c r="A35" s="3">
        <f t="shared" si="3"/>
        <v>-10</v>
      </c>
      <c r="B35" s="3">
        <f t="shared" si="0"/>
        <v>736</v>
      </c>
      <c r="C35" s="3">
        <f t="shared" si="1"/>
        <v>10316</v>
      </c>
      <c r="D35" s="13">
        <f t="shared" si="2"/>
        <v>14.016304347826088</v>
      </c>
      <c r="E35" s="13">
        <f t="shared" si="4"/>
        <v>-0.33369565217391184</v>
      </c>
      <c r="F35" s="13">
        <f t="shared" si="5"/>
        <v>35.433162138560164</v>
      </c>
      <c r="G35" s="13">
        <f t="shared" si="6"/>
        <v>6.8414434881923754</v>
      </c>
      <c r="H35" s="41">
        <f t="shared" si="7"/>
        <v>2.4515352116397748</v>
      </c>
      <c r="I35" s="60">
        <f t="shared" si="8"/>
        <v>-0.13611701377550706</v>
      </c>
      <c r="J35" s="13"/>
      <c r="K35" s="5">
        <v>40795</v>
      </c>
      <c r="L35" s="7">
        <v>0.49236111111111108</v>
      </c>
      <c r="M35" s="7">
        <v>0.58472222222222225</v>
      </c>
      <c r="N35" s="3">
        <v>133</v>
      </c>
      <c r="O35" s="3">
        <v>1803</v>
      </c>
      <c r="P35" s="11">
        <v>40816</v>
      </c>
      <c r="Q35" s="7">
        <v>0.32013888888888892</v>
      </c>
      <c r="R35" s="8">
        <v>0.69236111111111109</v>
      </c>
      <c r="S35" s="3">
        <f>536+67</f>
        <v>603</v>
      </c>
      <c r="T35" s="3">
        <f>7492+1021</f>
        <v>8513</v>
      </c>
    </row>
    <row r="36" spans="1:20" x14ac:dyDescent="0.3">
      <c r="A36" s="3">
        <f t="shared" si="3"/>
        <v>-5</v>
      </c>
      <c r="B36" s="3">
        <f t="shared" si="0"/>
        <v>809</v>
      </c>
      <c r="C36" s="3">
        <f t="shared" si="1"/>
        <v>11321</v>
      </c>
      <c r="D36" s="13">
        <f t="shared" si="2"/>
        <v>13.993819530284302</v>
      </c>
      <c r="E36" s="13">
        <f t="shared" si="4"/>
        <v>-0.35618046971569761</v>
      </c>
      <c r="F36" s="13">
        <f t="shared" si="5"/>
        <v>71.001673200136722</v>
      </c>
      <c r="G36" s="13">
        <f t="shared" si="6"/>
        <v>14.195226939743502</v>
      </c>
      <c r="H36" s="41">
        <f t="shared" si="7"/>
        <v>7.3537834515511271</v>
      </c>
      <c r="I36" s="60">
        <f t="shared" si="8"/>
        <v>-4.843499568111008E-2</v>
      </c>
      <c r="J36" s="13"/>
      <c r="K36" s="5">
        <v>40814</v>
      </c>
      <c r="L36" s="7">
        <v>0.7402777777777777</v>
      </c>
      <c r="M36" s="7">
        <v>0.30208333333333331</v>
      </c>
      <c r="N36" s="3">
        <v>809</v>
      </c>
      <c r="O36" s="3">
        <v>11321</v>
      </c>
      <c r="P36" s="10"/>
      <c r="Q36" s="3"/>
      <c r="R36" s="8"/>
      <c r="S36" s="3"/>
      <c r="T36" s="3"/>
    </row>
    <row r="37" spans="1:20" x14ac:dyDescent="0.3">
      <c r="A37" s="3">
        <f t="shared" si="3"/>
        <v>0</v>
      </c>
      <c r="B37" s="3">
        <f t="shared" si="0"/>
        <v>725</v>
      </c>
      <c r="C37" s="3">
        <f t="shared" si="1"/>
        <v>10312</v>
      </c>
      <c r="D37" s="13">
        <f t="shared" si="2"/>
        <v>14.223448275862069</v>
      </c>
      <c r="E37" s="13">
        <f t="shared" ref="E37:E55" si="9">IF(D37-$D$57&gt;0, D37-$D$57, 0)</f>
        <v>0</v>
      </c>
      <c r="F37" s="61" t="s">
        <v>153</v>
      </c>
      <c r="G37" s="63"/>
      <c r="H37" s="62"/>
      <c r="I37" s="64"/>
      <c r="K37" s="5">
        <v>40795</v>
      </c>
      <c r="L37" s="7">
        <v>0.5854166666666667</v>
      </c>
      <c r="M37" s="7">
        <v>0.71388888888888891</v>
      </c>
      <c r="N37" s="3">
        <v>185</v>
      </c>
      <c r="O37" s="3">
        <v>2535</v>
      </c>
      <c r="P37" s="11">
        <v>40819</v>
      </c>
      <c r="Q37" s="7">
        <v>0.35138888888888892</v>
      </c>
      <c r="R37" s="8">
        <v>0.72638888888888886</v>
      </c>
      <c r="S37" s="3">
        <v>540</v>
      </c>
      <c r="T37" s="3">
        <v>7777</v>
      </c>
    </row>
    <row r="38" spans="1:20" x14ac:dyDescent="0.3">
      <c r="A38" s="3">
        <f t="shared" si="3"/>
        <v>5</v>
      </c>
      <c r="B38" s="3"/>
      <c r="C38" s="3"/>
      <c r="D38" s="13"/>
      <c r="E38" s="13"/>
      <c r="F38" s="3"/>
      <c r="G38" s="3"/>
      <c r="K38" s="3"/>
      <c r="L38" s="3"/>
      <c r="M38" s="3"/>
      <c r="N38" s="3"/>
      <c r="O38" s="3"/>
      <c r="P38" s="10"/>
      <c r="Q38" s="3"/>
      <c r="R38" s="8"/>
      <c r="S38" s="3"/>
      <c r="T38" s="3"/>
    </row>
    <row r="39" spans="1:20" x14ac:dyDescent="0.3">
      <c r="A39" s="3">
        <f t="shared" si="3"/>
        <v>10</v>
      </c>
      <c r="B39" s="3">
        <f t="shared" si="0"/>
        <v>257</v>
      </c>
      <c r="C39" s="3">
        <f t="shared" si="1"/>
        <v>3561</v>
      </c>
      <c r="D39" s="13">
        <f t="shared" si="2"/>
        <v>13.85603112840467</v>
      </c>
      <c r="E39" s="13">
        <f t="shared" si="9"/>
        <v>0</v>
      </c>
      <c r="F39" s="3"/>
      <c r="G39" s="3"/>
      <c r="K39" s="5">
        <v>40796</v>
      </c>
      <c r="L39" s="7">
        <v>0.39027777777777778</v>
      </c>
      <c r="M39" s="7">
        <v>0.4770833333333333</v>
      </c>
      <c r="N39" s="3">
        <v>125</v>
      </c>
      <c r="O39" s="3">
        <v>1739</v>
      </c>
      <c r="P39" s="11">
        <v>40798</v>
      </c>
      <c r="Q39" s="7">
        <v>0.40833333333333338</v>
      </c>
      <c r="R39" s="8">
        <v>0.5</v>
      </c>
      <c r="S39" s="3">
        <v>132</v>
      </c>
      <c r="T39" s="3">
        <v>1822</v>
      </c>
    </row>
    <row r="40" spans="1:20" x14ac:dyDescent="0.3">
      <c r="A40" s="3">
        <f t="shared" si="3"/>
        <v>15</v>
      </c>
      <c r="B40" s="3"/>
      <c r="C40" s="3"/>
      <c r="D40" s="13"/>
      <c r="E40" s="13"/>
      <c r="F40" s="3"/>
      <c r="G40" s="3"/>
      <c r="K40" s="3"/>
      <c r="L40" s="3"/>
      <c r="M40" s="3"/>
      <c r="N40" s="3"/>
      <c r="O40" s="3"/>
      <c r="P40" s="10"/>
      <c r="Q40" s="3"/>
      <c r="R40" s="8"/>
      <c r="S40" s="3"/>
      <c r="T40" s="3"/>
    </row>
    <row r="41" spans="1:20" x14ac:dyDescent="0.3">
      <c r="A41" s="3">
        <f t="shared" si="3"/>
        <v>20</v>
      </c>
      <c r="B41" s="3">
        <f t="shared" si="0"/>
        <v>145</v>
      </c>
      <c r="C41" s="3">
        <f t="shared" si="1"/>
        <v>2006</v>
      </c>
      <c r="D41" s="13">
        <f t="shared" si="2"/>
        <v>13.834482758620689</v>
      </c>
      <c r="E41" s="13">
        <f t="shared" si="9"/>
        <v>0</v>
      </c>
      <c r="F41" s="3"/>
      <c r="G41" s="3"/>
      <c r="K41" s="5">
        <v>40798</v>
      </c>
      <c r="L41" s="7">
        <v>0.64236111111111105</v>
      </c>
      <c r="M41" s="7">
        <v>0.74305555555555547</v>
      </c>
      <c r="N41" s="3">
        <v>145</v>
      </c>
      <c r="O41" s="3">
        <v>2006</v>
      </c>
      <c r="P41" s="10"/>
      <c r="Q41" s="3"/>
      <c r="R41" s="8"/>
      <c r="S41" s="3"/>
      <c r="T41" s="3"/>
    </row>
    <row r="42" spans="1:20" x14ac:dyDescent="0.3">
      <c r="A42" s="3">
        <f t="shared" si="3"/>
        <v>25</v>
      </c>
      <c r="B42" s="3"/>
      <c r="C42" s="3"/>
      <c r="D42" s="13"/>
      <c r="E42" s="13"/>
      <c r="F42" s="3"/>
      <c r="G42" s="3"/>
      <c r="K42" s="3"/>
      <c r="L42" s="3"/>
      <c r="M42" s="3"/>
      <c r="N42" s="3"/>
      <c r="O42" s="3"/>
      <c r="P42" s="10"/>
      <c r="Q42" s="3"/>
      <c r="R42" s="8"/>
      <c r="S42" s="3"/>
      <c r="T42" s="3"/>
    </row>
    <row r="43" spans="1:20" x14ac:dyDescent="0.3">
      <c r="A43" s="3">
        <f t="shared" si="3"/>
        <v>30</v>
      </c>
      <c r="B43" s="3">
        <f t="shared" si="0"/>
        <v>135</v>
      </c>
      <c r="C43" s="3">
        <f t="shared" si="1"/>
        <v>1865</v>
      </c>
      <c r="D43" s="13">
        <f t="shared" si="2"/>
        <v>13.814814814814815</v>
      </c>
      <c r="E43" s="13">
        <f t="shared" si="9"/>
        <v>0</v>
      </c>
      <c r="F43" s="3"/>
      <c r="G43" s="3"/>
      <c r="K43" s="5">
        <v>40799</v>
      </c>
      <c r="L43" s="7">
        <v>0.29652777777777778</v>
      </c>
      <c r="M43" s="7">
        <v>0.39027777777777778</v>
      </c>
      <c r="N43" s="3">
        <v>135</v>
      </c>
      <c r="O43" s="3">
        <v>1865</v>
      </c>
      <c r="P43" s="10"/>
      <c r="Q43" s="3"/>
      <c r="R43" s="8"/>
      <c r="S43" s="3"/>
      <c r="T43" s="3"/>
    </row>
    <row r="44" spans="1:20" x14ac:dyDescent="0.3">
      <c r="A44" s="3">
        <f t="shared" si="3"/>
        <v>35</v>
      </c>
      <c r="B44" s="3"/>
      <c r="C44" s="3"/>
      <c r="D44" s="13"/>
      <c r="E44" s="13"/>
      <c r="F44" s="3"/>
      <c r="G44" s="3"/>
      <c r="K44" s="3"/>
      <c r="L44" s="3"/>
      <c r="M44" s="3"/>
      <c r="N44" s="3"/>
      <c r="O44" s="3"/>
      <c r="P44" s="10"/>
      <c r="Q44" s="3"/>
      <c r="R44" s="8"/>
      <c r="S44" s="3"/>
      <c r="T44" s="3"/>
    </row>
    <row r="45" spans="1:20" x14ac:dyDescent="0.3">
      <c r="A45" s="3">
        <f t="shared" si="3"/>
        <v>40</v>
      </c>
      <c r="B45" s="3">
        <f t="shared" si="0"/>
        <v>160</v>
      </c>
      <c r="C45" s="3">
        <f t="shared" si="1"/>
        <v>2232</v>
      </c>
      <c r="D45" s="13">
        <f t="shared" si="2"/>
        <v>13.95</v>
      </c>
      <c r="E45" s="13">
        <f t="shared" si="9"/>
        <v>0</v>
      </c>
      <c r="F45" s="3"/>
      <c r="G45" s="3"/>
      <c r="K45" s="5">
        <v>40799</v>
      </c>
      <c r="L45" s="7">
        <v>0.39097222222222222</v>
      </c>
      <c r="M45" s="7">
        <v>0.50208333333333333</v>
      </c>
      <c r="N45" s="3">
        <v>160</v>
      </c>
      <c r="O45" s="3">
        <v>2232</v>
      </c>
      <c r="P45" s="10"/>
      <c r="Q45" s="3"/>
      <c r="R45" s="8"/>
      <c r="S45" s="3"/>
      <c r="T45" s="3"/>
    </row>
    <row r="46" spans="1:20" x14ac:dyDescent="0.3">
      <c r="A46" s="3">
        <f t="shared" si="3"/>
        <v>45</v>
      </c>
      <c r="B46" s="3"/>
      <c r="C46" s="3"/>
      <c r="D46" s="13"/>
      <c r="E46" s="13"/>
      <c r="F46" s="3"/>
      <c r="G46" s="3"/>
      <c r="K46" s="3"/>
      <c r="L46" s="3"/>
      <c r="M46" s="3"/>
      <c r="N46" s="3"/>
      <c r="O46" s="3"/>
      <c r="P46" s="10"/>
      <c r="Q46" s="3"/>
      <c r="R46" s="8"/>
      <c r="S46" s="3"/>
      <c r="T46" s="3"/>
    </row>
    <row r="47" spans="1:20" x14ac:dyDescent="0.3">
      <c r="A47" s="3">
        <f t="shared" si="3"/>
        <v>50</v>
      </c>
      <c r="B47" s="3">
        <f t="shared" si="0"/>
        <v>362</v>
      </c>
      <c r="C47" s="3">
        <f t="shared" si="1"/>
        <v>4894</v>
      </c>
      <c r="D47" s="13">
        <f t="shared" si="2"/>
        <v>13.519337016574585</v>
      </c>
      <c r="E47" s="13">
        <f t="shared" si="9"/>
        <v>0</v>
      </c>
      <c r="F47" s="3"/>
      <c r="G47" s="3"/>
      <c r="K47" s="5">
        <v>40799</v>
      </c>
      <c r="L47" s="7">
        <v>0.50347222222222221</v>
      </c>
      <c r="M47" s="7">
        <v>0.75486111111111109</v>
      </c>
      <c r="N47" s="3">
        <v>362</v>
      </c>
      <c r="O47" s="3">
        <v>4894</v>
      </c>
      <c r="P47" s="10"/>
      <c r="Q47" s="3"/>
      <c r="R47" s="8"/>
      <c r="S47" s="3"/>
      <c r="T47" s="3"/>
    </row>
    <row r="48" spans="1:20" x14ac:dyDescent="0.3">
      <c r="A48" s="3">
        <f t="shared" si="3"/>
        <v>55</v>
      </c>
      <c r="B48" s="3"/>
      <c r="C48" s="3"/>
      <c r="D48" s="13"/>
      <c r="E48" s="13"/>
      <c r="F48" s="3"/>
      <c r="G48" s="3"/>
      <c r="K48" s="3"/>
      <c r="L48" s="3"/>
      <c r="M48" s="3"/>
      <c r="N48" s="3"/>
      <c r="O48" s="3"/>
      <c r="P48" s="10"/>
      <c r="Q48" s="3"/>
      <c r="R48" s="8"/>
      <c r="S48" s="3"/>
      <c r="T48" s="3"/>
    </row>
    <row r="49" spans="1:20" x14ac:dyDescent="0.3">
      <c r="A49" s="3">
        <f t="shared" si="3"/>
        <v>60</v>
      </c>
      <c r="B49" s="3">
        <f t="shared" si="0"/>
        <v>181</v>
      </c>
      <c r="C49" s="3">
        <f t="shared" si="1"/>
        <v>2484</v>
      </c>
      <c r="D49" s="13">
        <f t="shared" si="2"/>
        <v>13.723756906077348</v>
      </c>
      <c r="E49" s="13">
        <f t="shared" si="9"/>
        <v>0</v>
      </c>
      <c r="F49" s="3"/>
      <c r="G49" s="3"/>
      <c r="K49" s="5">
        <v>40800</v>
      </c>
      <c r="L49" s="7">
        <v>0.3</v>
      </c>
      <c r="M49" s="7">
        <v>0.42569444444444443</v>
      </c>
      <c r="N49" s="3">
        <v>181</v>
      </c>
      <c r="O49" s="3">
        <v>2484</v>
      </c>
      <c r="P49" s="10"/>
      <c r="Q49" s="3"/>
      <c r="R49" s="8"/>
      <c r="S49" s="3"/>
      <c r="T49" s="3"/>
    </row>
    <row r="50" spans="1:20" x14ac:dyDescent="0.3">
      <c r="A50" s="3">
        <f t="shared" si="3"/>
        <v>65</v>
      </c>
      <c r="B50" s="3"/>
      <c r="C50" s="3"/>
      <c r="D50" s="13"/>
      <c r="E50" s="13"/>
      <c r="F50" s="3"/>
      <c r="G50" s="3"/>
      <c r="K50" s="3"/>
      <c r="L50" s="3"/>
      <c r="M50" s="3"/>
      <c r="N50" s="3"/>
      <c r="O50" s="3"/>
      <c r="P50" s="10"/>
      <c r="Q50" s="3"/>
      <c r="R50" s="8"/>
      <c r="S50" s="3"/>
      <c r="T50" s="3"/>
    </row>
    <row r="51" spans="1:20" x14ac:dyDescent="0.3">
      <c r="A51" s="3">
        <f t="shared" si="3"/>
        <v>70</v>
      </c>
      <c r="B51" s="3">
        <f t="shared" si="0"/>
        <v>203</v>
      </c>
      <c r="C51" s="3">
        <f t="shared" si="1"/>
        <v>2779</v>
      </c>
      <c r="D51" s="13">
        <f t="shared" si="2"/>
        <v>13.689655172413794</v>
      </c>
      <c r="E51" s="13">
        <f t="shared" si="9"/>
        <v>0</v>
      </c>
      <c r="F51" s="3"/>
      <c r="G51" s="3"/>
      <c r="K51" s="5">
        <v>40800</v>
      </c>
      <c r="L51" s="7">
        <v>0.42708333333333331</v>
      </c>
      <c r="M51" s="7">
        <v>0.56805555555555554</v>
      </c>
      <c r="N51" s="3">
        <v>203</v>
      </c>
      <c r="O51" s="3">
        <v>2779</v>
      </c>
      <c r="P51" s="10"/>
      <c r="Q51" s="3"/>
      <c r="R51" s="8"/>
      <c r="S51" s="3"/>
      <c r="T51" s="3"/>
    </row>
    <row r="52" spans="1:20" x14ac:dyDescent="0.3">
      <c r="A52" s="3">
        <f t="shared" si="3"/>
        <v>75</v>
      </c>
      <c r="B52" s="3"/>
      <c r="C52" s="3"/>
      <c r="D52" s="13"/>
      <c r="E52" s="13"/>
      <c r="F52" s="3"/>
      <c r="G52" s="3"/>
      <c r="K52" s="3"/>
      <c r="L52" s="7"/>
      <c r="M52" s="3"/>
      <c r="N52" s="3"/>
      <c r="O52" s="3"/>
      <c r="P52" s="10"/>
      <c r="Q52" s="3"/>
      <c r="R52" s="8"/>
      <c r="S52" s="3"/>
      <c r="T52" s="3"/>
    </row>
    <row r="53" spans="1:20" x14ac:dyDescent="0.3">
      <c r="A53" s="3">
        <f t="shared" si="3"/>
        <v>80</v>
      </c>
      <c r="B53" s="3">
        <f t="shared" si="0"/>
        <v>186</v>
      </c>
      <c r="C53" s="3">
        <f t="shared" si="1"/>
        <v>2471</v>
      </c>
      <c r="D53" s="13">
        <f t="shared" si="2"/>
        <v>13.28494623655914</v>
      </c>
      <c r="E53" s="13">
        <f t="shared" si="9"/>
        <v>0</v>
      </c>
      <c r="F53" s="3"/>
      <c r="G53" s="3"/>
      <c r="K53" s="5">
        <v>40800</v>
      </c>
      <c r="L53" s="7">
        <v>0.56874999999999998</v>
      </c>
      <c r="M53" s="7">
        <v>0.69791666666666663</v>
      </c>
      <c r="N53" s="3">
        <v>186</v>
      </c>
      <c r="O53" s="3">
        <v>2471</v>
      </c>
      <c r="P53" s="10"/>
      <c r="Q53" s="3"/>
      <c r="R53" s="8"/>
      <c r="S53" s="3"/>
      <c r="T53" s="3"/>
    </row>
    <row r="54" spans="1:20" x14ac:dyDescent="0.3">
      <c r="A54" s="3">
        <f t="shared" si="3"/>
        <v>85</v>
      </c>
      <c r="B54" s="3"/>
      <c r="C54" s="3"/>
      <c r="D54" s="13"/>
      <c r="E54" s="13"/>
      <c r="F54" s="3"/>
      <c r="G54" s="3"/>
      <c r="K54" s="3"/>
      <c r="L54" s="3"/>
      <c r="M54" s="3"/>
      <c r="N54" s="3"/>
      <c r="O54" s="3"/>
      <c r="P54" s="10"/>
      <c r="Q54" s="3"/>
      <c r="R54" s="8"/>
      <c r="S54" s="3"/>
      <c r="T54" s="3"/>
    </row>
    <row r="55" spans="1:20" x14ac:dyDescent="0.3">
      <c r="A55" s="3">
        <f t="shared" si="3"/>
        <v>90</v>
      </c>
      <c r="B55" s="3">
        <f t="shared" si="0"/>
        <v>333</v>
      </c>
      <c r="C55" s="3">
        <f t="shared" si="1"/>
        <v>4531</v>
      </c>
      <c r="D55" s="13">
        <f t="shared" si="2"/>
        <v>13.606606606606606</v>
      </c>
      <c r="E55" s="13">
        <f t="shared" si="9"/>
        <v>0</v>
      </c>
      <c r="F55" s="3"/>
      <c r="G55" s="3"/>
      <c r="K55" s="5">
        <v>40787</v>
      </c>
      <c r="L55" s="7">
        <v>0.30208333333333331</v>
      </c>
      <c r="M55" s="7">
        <v>0.53333333333333333</v>
      </c>
      <c r="N55" s="3">
        <v>333</v>
      </c>
      <c r="O55" s="3">
        <v>4531</v>
      </c>
      <c r="P55" s="10"/>
      <c r="Q55" s="3"/>
      <c r="R55" s="8"/>
      <c r="S55" s="3"/>
      <c r="T55" s="3"/>
    </row>
    <row r="56" spans="1:20" x14ac:dyDescent="0.3">
      <c r="B56" s="3"/>
      <c r="C56" s="3"/>
      <c r="D56" s="13"/>
      <c r="E56" s="13"/>
      <c r="P56" s="10"/>
      <c r="Q56" s="3"/>
      <c r="R56" s="3"/>
      <c r="S56" s="3"/>
      <c r="T56" s="3"/>
    </row>
    <row r="57" spans="1:20" x14ac:dyDescent="0.3">
      <c r="A57" s="15" t="s">
        <v>52</v>
      </c>
      <c r="C57" t="s">
        <v>51</v>
      </c>
      <c r="D57" s="16">
        <v>14.35</v>
      </c>
      <c r="P57" s="9"/>
    </row>
    <row r="58" spans="1:20" x14ac:dyDescent="0.3">
      <c r="A58" s="15" t="s">
        <v>53</v>
      </c>
      <c r="B58" s="16">
        <f>N58+S57</f>
        <v>852</v>
      </c>
      <c r="C58" s="16">
        <f>O58+T57</f>
        <v>12229</v>
      </c>
      <c r="D58" s="17">
        <f>IF(B58=0, 0, (C58/B58))</f>
        <v>14.353286384976526</v>
      </c>
      <c r="E58" s="13">
        <f>IF(D58-$D$58&gt;0, D58-$D$58, 0)</f>
        <v>0</v>
      </c>
      <c r="F58" s="15"/>
      <c r="G58" s="15"/>
      <c r="K58" s="18">
        <v>40819</v>
      </c>
      <c r="L58" s="21">
        <v>0.72777777777777775</v>
      </c>
      <c r="M58" s="21">
        <v>0.31944444444444448</v>
      </c>
      <c r="N58" s="16">
        <v>852</v>
      </c>
      <c r="O58" s="33">
        <v>12229</v>
      </c>
    </row>
    <row r="60" spans="1:20" x14ac:dyDescent="0.3">
      <c r="A60" s="66" t="s">
        <v>158</v>
      </c>
      <c r="B60" s="61"/>
      <c r="C60" s="62"/>
      <c r="D60" s="62"/>
      <c r="E60" s="62"/>
      <c r="F60" s="65"/>
    </row>
    <row r="61" spans="1:20" x14ac:dyDescent="0.3">
      <c r="A61" s="66" t="s">
        <v>154</v>
      </c>
      <c r="B61" s="61"/>
      <c r="C61" s="62"/>
      <c r="D61" s="62"/>
      <c r="E61" s="62"/>
      <c r="F61" s="65"/>
    </row>
    <row r="62" spans="1:20" ht="15.6" x14ac:dyDescent="0.35">
      <c r="A62" s="66" t="s">
        <v>159</v>
      </c>
      <c r="B62" s="61"/>
      <c r="C62" s="62"/>
      <c r="D62" s="62"/>
      <c r="E62" s="62"/>
      <c r="F62" s="65"/>
    </row>
    <row r="63" spans="1:20" ht="15.6" x14ac:dyDescent="0.35">
      <c r="A63" s="62" t="s">
        <v>160</v>
      </c>
      <c r="B63" s="62"/>
      <c r="C63" s="62"/>
      <c r="D63" s="62"/>
      <c r="E63" s="62"/>
      <c r="F63" s="65"/>
    </row>
    <row r="64" spans="1:20" x14ac:dyDescent="0.3">
      <c r="A64" s="67" t="s">
        <v>161</v>
      </c>
      <c r="B64" s="62"/>
      <c r="C64" s="62"/>
      <c r="D64" s="62"/>
      <c r="E64" s="62"/>
      <c r="F64" s="65"/>
    </row>
    <row r="65" spans="1:6" x14ac:dyDescent="0.3">
      <c r="A65" s="62" t="s">
        <v>162</v>
      </c>
      <c r="B65" s="62"/>
      <c r="C65" s="62"/>
      <c r="D65" s="62"/>
      <c r="E65" s="62"/>
      <c r="F65" s="65"/>
    </row>
    <row r="66" spans="1:6" x14ac:dyDescent="0.3">
      <c r="A66" s="68" t="s">
        <v>155</v>
      </c>
      <c r="B66" s="62"/>
      <c r="C66" s="62"/>
      <c r="D66" s="62"/>
      <c r="E66" s="62"/>
      <c r="F66" s="65"/>
    </row>
    <row r="67" spans="1:6" x14ac:dyDescent="0.3">
      <c r="E67" s="65"/>
      <c r="F67" s="65"/>
    </row>
    <row r="68" spans="1:6" ht="15.6" x14ac:dyDescent="0.35">
      <c r="A68" s="65" t="s">
        <v>156</v>
      </c>
      <c r="B68" s="65"/>
      <c r="C68" s="65"/>
      <c r="D68" s="65"/>
    </row>
    <row r="69" spans="1:6" x14ac:dyDescent="0.3">
      <c r="A69" s="65" t="s">
        <v>157</v>
      </c>
      <c r="B69" s="65"/>
      <c r="C69" s="65"/>
      <c r="D69" s="65"/>
    </row>
  </sheetData>
  <phoneticPr fontId="24" type="noConversion"/>
  <hyperlinks>
    <hyperlink ref="F2" r:id="rId1"/>
    <hyperlink ref="A66" r:id="rId2"/>
  </hyperlinks>
  <pageMargins left="0.7" right="0.7" top="0.75" bottom="0.75" header="0.3" footer="0.3"/>
  <pageSetup orientation="landscape" horizontalDpi="1200" verticalDpi="120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opLeftCell="A48" workbookViewId="0"/>
  </sheetViews>
  <sheetFormatPr defaultColWidth="8.88671875" defaultRowHeight="14.4" x14ac:dyDescent="0.3"/>
  <cols>
    <col min="1" max="1" width="13.6640625" customWidth="1"/>
    <col min="4" max="4" width="12.6640625" customWidth="1"/>
    <col min="5" max="5" width="10.109375" customWidth="1"/>
    <col min="6" max="7" width="11.109375" customWidth="1"/>
    <col min="8" max="8" width="6.88671875" customWidth="1"/>
    <col min="9" max="9" width="7.109375" customWidth="1"/>
    <col min="10" max="10" width="9.109375" customWidth="1"/>
    <col min="11" max="11" width="19.88671875" customWidth="1"/>
    <col min="13" max="13" width="10.6640625" bestFit="1" customWidth="1"/>
    <col min="18" max="18" width="11.33203125" customWidth="1"/>
  </cols>
  <sheetData>
    <row r="1" spans="1:22" ht="18" x14ac:dyDescent="0.35">
      <c r="A1" s="6" t="s">
        <v>0</v>
      </c>
      <c r="F1" t="s">
        <v>1</v>
      </c>
    </row>
    <row r="2" spans="1:22" ht="18" x14ac:dyDescent="0.35">
      <c r="A2" s="6" t="s">
        <v>15</v>
      </c>
      <c r="F2" s="2" t="s">
        <v>2</v>
      </c>
      <c r="G2" s="2"/>
    </row>
    <row r="3" spans="1:22" x14ac:dyDescent="0.3">
      <c r="F3" s="1">
        <v>41214</v>
      </c>
      <c r="G3" t="s">
        <v>59</v>
      </c>
    </row>
    <row r="4" spans="1:22" x14ac:dyDescent="0.3">
      <c r="F4" s="1">
        <v>40864</v>
      </c>
      <c r="G4" t="s">
        <v>60</v>
      </c>
    </row>
    <row r="5" spans="1:22" x14ac:dyDescent="0.3">
      <c r="A5" t="s">
        <v>3</v>
      </c>
    </row>
    <row r="6" spans="1:22" ht="16.2" x14ac:dyDescent="0.35">
      <c r="A6" s="20" t="s">
        <v>24</v>
      </c>
      <c r="C6" t="s">
        <v>25</v>
      </c>
      <c r="E6" t="s">
        <v>26</v>
      </c>
    </row>
    <row r="7" spans="1:22" ht="16.8" x14ac:dyDescent="0.35">
      <c r="A7" t="s">
        <v>40</v>
      </c>
      <c r="B7" s="3">
        <v>0.51100000000000001</v>
      </c>
      <c r="C7" t="s">
        <v>41</v>
      </c>
      <c r="D7" t="s">
        <v>25</v>
      </c>
      <c r="E7" t="s">
        <v>92</v>
      </c>
      <c r="I7" t="s">
        <v>90</v>
      </c>
    </row>
    <row r="8" spans="1:22" ht="15.6" x14ac:dyDescent="0.35">
      <c r="A8" t="s">
        <v>8</v>
      </c>
      <c r="D8" t="s">
        <v>93</v>
      </c>
      <c r="E8" t="s">
        <v>94</v>
      </c>
      <c r="I8" t="s">
        <v>95</v>
      </c>
    </row>
    <row r="9" spans="1:22" ht="16.2" x14ac:dyDescent="0.3">
      <c r="A9" t="s">
        <v>36</v>
      </c>
      <c r="B9" s="3">
        <v>6.2</v>
      </c>
      <c r="C9" t="s">
        <v>38</v>
      </c>
      <c r="E9" t="s">
        <v>105</v>
      </c>
      <c r="I9" t="s">
        <v>96</v>
      </c>
    </row>
    <row r="10" spans="1:22" x14ac:dyDescent="0.3">
      <c r="A10" t="s">
        <v>37</v>
      </c>
      <c r="B10" s="3">
        <v>6.9000000000000006E-2</v>
      </c>
      <c r="C10" t="s">
        <v>39</v>
      </c>
      <c r="D10" t="s">
        <v>80</v>
      </c>
    </row>
    <row r="11" spans="1:22" x14ac:dyDescent="0.3">
      <c r="A11" t="s">
        <v>50</v>
      </c>
    </row>
    <row r="12" spans="1:22" x14ac:dyDescent="0.3">
      <c r="A12" t="s">
        <v>7</v>
      </c>
    </row>
    <row r="13" spans="1:22" x14ac:dyDescent="0.3">
      <c r="A13" t="s">
        <v>28</v>
      </c>
      <c r="C13">
        <v>920</v>
      </c>
      <c r="D13" t="s">
        <v>27</v>
      </c>
      <c r="G13" s="29" t="s">
        <v>106</v>
      </c>
    </row>
    <row r="14" spans="1:22" x14ac:dyDescent="0.3">
      <c r="I14" s="47" t="s">
        <v>57</v>
      </c>
      <c r="J14" s="4" t="s">
        <v>45</v>
      </c>
      <c r="K14" s="40"/>
    </row>
    <row r="15" spans="1:22" x14ac:dyDescent="0.3">
      <c r="A15" s="3" t="s">
        <v>9</v>
      </c>
      <c r="B15" s="3" t="s">
        <v>16</v>
      </c>
      <c r="C15" s="3" t="s">
        <v>16</v>
      </c>
      <c r="D15" s="19" t="s">
        <v>22</v>
      </c>
      <c r="E15" s="3" t="s">
        <v>23</v>
      </c>
      <c r="F15" s="3" t="s">
        <v>29</v>
      </c>
      <c r="G15" s="29" t="s">
        <v>31</v>
      </c>
      <c r="H15" s="39" t="s">
        <v>43</v>
      </c>
      <c r="I15" s="39" t="s">
        <v>58</v>
      </c>
      <c r="J15" s="3" t="s">
        <v>46</v>
      </c>
      <c r="K15" s="13" t="s">
        <v>54</v>
      </c>
      <c r="P15" s="4" t="s">
        <v>19</v>
      </c>
      <c r="Q15" s="28"/>
      <c r="R15" s="9"/>
      <c r="U15" s="4" t="s">
        <v>19</v>
      </c>
    </row>
    <row r="16" spans="1:22" x14ac:dyDescent="0.3">
      <c r="A16" s="3" t="s">
        <v>10</v>
      </c>
      <c r="B16" s="4" t="s">
        <v>12</v>
      </c>
      <c r="C16" s="4" t="s">
        <v>13</v>
      </c>
      <c r="D16" s="4" t="s">
        <v>14</v>
      </c>
      <c r="E16" s="30" t="s">
        <v>14</v>
      </c>
      <c r="F16" s="30" t="s">
        <v>14</v>
      </c>
      <c r="G16" s="30" t="s">
        <v>14</v>
      </c>
      <c r="H16" s="4" t="s">
        <v>44</v>
      </c>
      <c r="I16" s="4" t="s">
        <v>42</v>
      </c>
      <c r="J16" s="4" t="s">
        <v>47</v>
      </c>
      <c r="K16" s="42" t="s">
        <v>49</v>
      </c>
      <c r="M16" s="3" t="s">
        <v>11</v>
      </c>
      <c r="N16" s="3" t="s">
        <v>17</v>
      </c>
      <c r="O16" s="3" t="s">
        <v>18</v>
      </c>
      <c r="P16" s="4" t="s">
        <v>20</v>
      </c>
      <c r="Q16" s="32" t="s">
        <v>13</v>
      </c>
      <c r="R16" s="10" t="s">
        <v>11</v>
      </c>
      <c r="S16" s="3" t="s">
        <v>17</v>
      </c>
      <c r="T16" s="3" t="s">
        <v>18</v>
      </c>
      <c r="U16" s="4" t="s">
        <v>20</v>
      </c>
      <c r="V16" s="4" t="s">
        <v>13</v>
      </c>
    </row>
    <row r="17" spans="1:22" x14ac:dyDescent="0.3">
      <c r="A17" s="3">
        <v>100</v>
      </c>
      <c r="B17" s="36">
        <f t="shared" ref="B17:B57" si="0">P17+U17</f>
        <v>103</v>
      </c>
      <c r="C17" s="36">
        <f t="shared" ref="C17:C57" si="1">Q17+V17</f>
        <v>20044</v>
      </c>
      <c r="D17" s="13">
        <f t="shared" ref="D17:D57" si="2">IF(B17=0, 0, (C17/B17))</f>
        <v>194.60194174757282</v>
      </c>
      <c r="E17" s="13">
        <f>IF(D17-$D$62&gt;0, D17-$D$62, 0)</f>
        <v>182.33331752156664</v>
      </c>
      <c r="F17" s="13">
        <f>D57</f>
        <v>133.71276595744681</v>
      </c>
      <c r="G17" s="13">
        <f>D17-F17</f>
        <v>60.889175790126018</v>
      </c>
      <c r="H17" s="13">
        <f>($B$9/2)/TAN(ABS(RADIANS(A17)/2))</f>
        <v>2.6012088566495679</v>
      </c>
      <c r="I17" s="13">
        <f>$B$7*(SQRT((3*$B$10*H17/$B$7)^2+1)-1)</f>
        <v>0.23132718781499559</v>
      </c>
      <c r="M17" s="5">
        <v>40848</v>
      </c>
      <c r="N17" s="7">
        <v>0.31944444444444448</v>
      </c>
      <c r="O17" s="7">
        <v>0.39097222222222222</v>
      </c>
      <c r="P17" s="4">
        <v>103</v>
      </c>
      <c r="Q17" s="32">
        <v>20044</v>
      </c>
      <c r="R17" s="11"/>
      <c r="S17" s="7"/>
      <c r="T17" s="8"/>
      <c r="U17" s="37"/>
      <c r="V17" s="37"/>
    </row>
    <row r="18" spans="1:22" x14ac:dyDescent="0.3">
      <c r="A18" s="3">
        <f t="shared" ref="A18:A57" si="3">A17-5</f>
        <v>95</v>
      </c>
      <c r="B18" s="36">
        <f t="shared" si="0"/>
        <v>83</v>
      </c>
      <c r="C18" s="36">
        <f t="shared" si="1"/>
        <v>13077</v>
      </c>
      <c r="D18" s="13">
        <f t="shared" si="2"/>
        <v>157.55421686746988</v>
      </c>
      <c r="E18" s="13">
        <f t="shared" ref="E18:E57" si="4">IF(D18-$D$62&gt;0, D18-$D$62, 0)</f>
        <v>145.28559264146369</v>
      </c>
      <c r="F18" s="13">
        <f>D56</f>
        <v>126.73469387755102</v>
      </c>
      <c r="G18" s="13">
        <f t="shared" ref="G18:G37" si="5">D18-F18</f>
        <v>30.819522989918852</v>
      </c>
      <c r="H18" s="13">
        <f t="shared" ref="H18:H36" si="6">($B$9/2)/TAN(ABS(RADIANS(A18)/2))</f>
        <v>2.8406266394540127</v>
      </c>
      <c r="I18" s="13">
        <f t="shared" ref="I18:I36" si="7">$B$7*(SQRT((3*$B$10*H18/$B$7)^2+1)-1)</f>
        <v>0.26802273663221038</v>
      </c>
      <c r="J18" s="41">
        <f>(I18-I17)</f>
        <v>3.669554881721479E-2</v>
      </c>
      <c r="K18" s="36">
        <f>G18/J18</f>
        <v>839.87088307180875</v>
      </c>
      <c r="M18" s="5">
        <v>40848</v>
      </c>
      <c r="N18" s="7">
        <v>0.39166666666666666</v>
      </c>
      <c r="O18" s="7">
        <v>0.44930555555555557</v>
      </c>
      <c r="P18" s="4">
        <v>83</v>
      </c>
      <c r="Q18" s="32">
        <v>13077</v>
      </c>
      <c r="R18" s="11"/>
      <c r="S18" s="7"/>
      <c r="T18" s="8"/>
      <c r="U18" s="37"/>
      <c r="V18" s="37"/>
    </row>
    <row r="19" spans="1:22" x14ac:dyDescent="0.3">
      <c r="A19" s="3">
        <f t="shared" si="3"/>
        <v>90</v>
      </c>
      <c r="B19" s="36">
        <f t="shared" si="0"/>
        <v>100</v>
      </c>
      <c r="C19" s="36">
        <f t="shared" si="1"/>
        <v>14308</v>
      </c>
      <c r="D19" s="13">
        <f t="shared" si="2"/>
        <v>143.08000000000001</v>
      </c>
      <c r="E19" s="13">
        <f t="shared" si="4"/>
        <v>130.81137577399383</v>
      </c>
      <c r="F19" s="13">
        <f>D55</f>
        <v>124.05154639175258</v>
      </c>
      <c r="G19" s="13">
        <f t="shared" si="5"/>
        <v>19.028453608247432</v>
      </c>
      <c r="H19" s="13">
        <f t="shared" si="6"/>
        <v>3.1000000000000005</v>
      </c>
      <c r="I19" s="13">
        <f t="shared" si="7"/>
        <v>0.30930475434438398</v>
      </c>
      <c r="J19" s="41">
        <f t="shared" ref="J19:J36" si="8">(I19-I18)</f>
        <v>4.1282017712173602E-2</v>
      </c>
      <c r="K19" s="36">
        <f t="shared" ref="K19:K36" si="9">G19/J19</f>
        <v>460.93807092757862</v>
      </c>
      <c r="M19" s="5">
        <v>40848</v>
      </c>
      <c r="N19" s="8">
        <v>0.45</v>
      </c>
      <c r="O19" s="7">
        <v>0.51944444444444449</v>
      </c>
      <c r="P19" s="3">
        <v>100</v>
      </c>
      <c r="Q19" s="25">
        <v>14308</v>
      </c>
      <c r="R19" s="11"/>
      <c r="S19" s="7"/>
      <c r="T19" s="8"/>
      <c r="U19" s="36"/>
      <c r="V19" s="36"/>
    </row>
    <row r="20" spans="1:22" x14ac:dyDescent="0.3">
      <c r="A20" s="3">
        <f t="shared" si="3"/>
        <v>85</v>
      </c>
      <c r="B20" s="36">
        <f t="shared" si="0"/>
        <v>84</v>
      </c>
      <c r="C20" s="36">
        <f t="shared" si="1"/>
        <v>11187</v>
      </c>
      <c r="D20" s="13">
        <f t="shared" si="2"/>
        <v>133.17857142857142</v>
      </c>
      <c r="E20" s="13">
        <f t="shared" si="4"/>
        <v>120.90994720256522</v>
      </c>
      <c r="F20" s="13">
        <f>D54</f>
        <v>117.06122448979592</v>
      </c>
      <c r="G20" s="13">
        <f t="shared" si="5"/>
        <v>16.117346938775498</v>
      </c>
      <c r="H20" s="13">
        <f t="shared" si="6"/>
        <v>3.3830563533147413</v>
      </c>
      <c r="I20" s="13">
        <f t="shared" si="7"/>
        <v>0.35590877077319627</v>
      </c>
      <c r="J20" s="41">
        <f t="shared" si="8"/>
        <v>4.6604016428812289E-2</v>
      </c>
      <c r="K20" s="36">
        <f t="shared" si="9"/>
        <v>345.83600671832164</v>
      </c>
      <c r="M20" s="5">
        <v>40848</v>
      </c>
      <c r="N20" s="7">
        <v>0.52013888888888882</v>
      </c>
      <c r="O20" s="7">
        <v>0.57847222222222217</v>
      </c>
      <c r="P20" s="3">
        <v>84</v>
      </c>
      <c r="Q20" s="25">
        <v>11187</v>
      </c>
      <c r="R20" s="10"/>
      <c r="S20" s="3"/>
      <c r="T20" s="8"/>
      <c r="U20" s="36"/>
      <c r="V20" s="36"/>
    </row>
    <row r="21" spans="1:22" x14ac:dyDescent="0.3">
      <c r="A21" s="3">
        <f t="shared" si="3"/>
        <v>80</v>
      </c>
      <c r="B21" s="36">
        <f t="shared" si="0"/>
        <v>116</v>
      </c>
      <c r="C21" s="36">
        <f t="shared" si="1"/>
        <v>13033</v>
      </c>
      <c r="D21" s="13">
        <f t="shared" si="2"/>
        <v>112.35344827586206</v>
      </c>
      <c r="E21" s="13">
        <f t="shared" si="4"/>
        <v>100.08482404985587</v>
      </c>
      <c r="F21" s="13">
        <f>D53</f>
        <v>115.29600000000001</v>
      </c>
      <c r="G21" s="13">
        <f t="shared" si="5"/>
        <v>-2.9425517241379424</v>
      </c>
      <c r="H21" s="13">
        <f t="shared" si="6"/>
        <v>3.6944361370420515</v>
      </c>
      <c r="I21" s="13">
        <f t="shared" si="7"/>
        <v>0.40876134530940222</v>
      </c>
      <c r="J21" s="41">
        <f t="shared" si="8"/>
        <v>5.2852574536205954E-2</v>
      </c>
      <c r="K21" s="36">
        <f t="shared" si="9"/>
        <v>-55.674709320398129</v>
      </c>
      <c r="M21" s="5">
        <v>40848</v>
      </c>
      <c r="N21" s="7">
        <v>0.57916666666666672</v>
      </c>
      <c r="O21" s="7">
        <v>0.65972222222222221</v>
      </c>
      <c r="P21" s="3">
        <v>116</v>
      </c>
      <c r="Q21" s="25">
        <v>13033</v>
      </c>
      <c r="R21" s="11"/>
      <c r="S21" s="7"/>
      <c r="T21" s="8"/>
      <c r="U21" s="36"/>
      <c r="V21" s="36"/>
    </row>
    <row r="22" spans="1:22" x14ac:dyDescent="0.3">
      <c r="A22" s="3">
        <f t="shared" si="3"/>
        <v>75</v>
      </c>
      <c r="B22" s="36">
        <f t="shared" si="0"/>
        <v>123</v>
      </c>
      <c r="C22" s="36">
        <f t="shared" si="1"/>
        <v>13673</v>
      </c>
      <c r="D22" s="13">
        <f t="shared" si="2"/>
        <v>111.16260162601625</v>
      </c>
      <c r="E22" s="13">
        <f t="shared" si="4"/>
        <v>98.893977400010058</v>
      </c>
      <c r="F22" s="13">
        <f>D52</f>
        <v>110.02173913043478</v>
      </c>
      <c r="G22" s="13">
        <f t="shared" si="5"/>
        <v>1.140862495581473</v>
      </c>
      <c r="H22" s="13">
        <f t="shared" si="6"/>
        <v>4.0399986558077376</v>
      </c>
      <c r="I22" s="13">
        <f t="shared" si="7"/>
        <v>0.46904325058333007</v>
      </c>
      <c r="J22" s="41">
        <f t="shared" si="8"/>
        <v>6.0281905273927849E-2</v>
      </c>
      <c r="K22" s="36">
        <f t="shared" si="9"/>
        <v>18.92545516597831</v>
      </c>
      <c r="M22" s="5">
        <v>40848</v>
      </c>
      <c r="N22" s="7">
        <v>0.66041666666666665</v>
      </c>
      <c r="O22" s="7">
        <v>0.74583333333333324</v>
      </c>
      <c r="P22" s="3">
        <v>123</v>
      </c>
      <c r="Q22" s="25">
        <v>13673</v>
      </c>
      <c r="R22" s="10"/>
      <c r="S22" s="3"/>
      <c r="T22" s="8"/>
      <c r="U22" s="36"/>
      <c r="V22" s="36"/>
    </row>
    <row r="23" spans="1:22" x14ac:dyDescent="0.3">
      <c r="A23" s="3">
        <f t="shared" si="3"/>
        <v>70</v>
      </c>
      <c r="B23" s="36">
        <f t="shared" si="0"/>
        <v>206</v>
      </c>
      <c r="C23" s="36">
        <f t="shared" si="1"/>
        <v>21974</v>
      </c>
      <c r="D23" s="13">
        <f t="shared" si="2"/>
        <v>106.66990291262135</v>
      </c>
      <c r="E23" s="13">
        <f t="shared" si="4"/>
        <v>94.401278686615157</v>
      </c>
      <c r="F23" s="13">
        <f>D51</f>
        <v>108.5607476635514</v>
      </c>
      <c r="G23" s="13">
        <f t="shared" si="5"/>
        <v>-1.890844750930043</v>
      </c>
      <c r="H23" s="13">
        <f t="shared" si="6"/>
        <v>4.4272588209005557</v>
      </c>
      <c r="I23" s="13">
        <f t="shared" si="7"/>
        <v>0.5382797505768625</v>
      </c>
      <c r="J23" s="41">
        <f t="shared" si="8"/>
        <v>6.923649999353243E-2</v>
      </c>
      <c r="K23" s="36">
        <f t="shared" si="9"/>
        <v>-27.309941304177304</v>
      </c>
      <c r="M23" s="5">
        <v>40848</v>
      </c>
      <c r="N23" s="7">
        <v>0.74652777777777779</v>
      </c>
      <c r="O23" s="7">
        <v>0.88958333333333339</v>
      </c>
      <c r="P23" s="3">
        <v>206</v>
      </c>
      <c r="Q23" s="25">
        <v>21974</v>
      </c>
      <c r="R23" s="11"/>
      <c r="S23" s="7"/>
      <c r="T23" s="8"/>
      <c r="U23" s="36"/>
      <c r="V23" s="36"/>
    </row>
    <row r="24" spans="1:22" x14ac:dyDescent="0.3">
      <c r="A24" s="3">
        <f t="shared" si="3"/>
        <v>65</v>
      </c>
      <c r="B24" s="36">
        <f t="shared" si="0"/>
        <v>133</v>
      </c>
      <c r="C24" s="36">
        <f t="shared" si="1"/>
        <v>13685</v>
      </c>
      <c r="D24" s="13">
        <f t="shared" si="2"/>
        <v>102.89473684210526</v>
      </c>
      <c r="E24" s="13">
        <f t="shared" si="4"/>
        <v>90.626112616099064</v>
      </c>
      <c r="F24" s="13">
        <f>D50</f>
        <v>100.38392857142857</v>
      </c>
      <c r="G24" s="13">
        <f t="shared" si="5"/>
        <v>2.5108082706766908</v>
      </c>
      <c r="H24" s="13">
        <f t="shared" si="6"/>
        <v>4.8660252890642202</v>
      </c>
      <c r="I24" s="13">
        <f t="shared" si="7"/>
        <v>0.6184725682258746</v>
      </c>
      <c r="J24" s="41">
        <f t="shared" si="8"/>
        <v>8.0192817649012094E-2</v>
      </c>
      <c r="K24" s="36">
        <f t="shared" si="9"/>
        <v>31.309640243169856</v>
      </c>
      <c r="M24" s="5">
        <v>40849</v>
      </c>
      <c r="N24" s="7">
        <v>0.33124999999999999</v>
      </c>
      <c r="O24" s="7">
        <v>0.4236111111111111</v>
      </c>
      <c r="P24" s="3">
        <v>133</v>
      </c>
      <c r="Q24" s="25">
        <v>13685</v>
      </c>
      <c r="R24" s="11"/>
      <c r="S24" s="7"/>
      <c r="T24" s="8"/>
      <c r="U24" s="36"/>
      <c r="V24" s="36"/>
    </row>
    <row r="25" spans="1:22" x14ac:dyDescent="0.3">
      <c r="A25" s="3">
        <f t="shared" si="3"/>
        <v>60</v>
      </c>
      <c r="B25" s="36">
        <f t="shared" si="0"/>
        <v>106</v>
      </c>
      <c r="C25" s="36">
        <f t="shared" si="1"/>
        <v>10494</v>
      </c>
      <c r="D25" s="13">
        <f t="shared" si="2"/>
        <v>99</v>
      </c>
      <c r="E25" s="13">
        <f t="shared" si="4"/>
        <v>86.731375773993804</v>
      </c>
      <c r="F25" s="13">
        <f>D49</f>
        <v>98.697841726618705</v>
      </c>
      <c r="G25" s="13">
        <f t="shared" si="5"/>
        <v>0.30215827338129486</v>
      </c>
      <c r="H25" s="13">
        <f t="shared" si="6"/>
        <v>5.3693575034635197</v>
      </c>
      <c r="I25" s="13">
        <f t="shared" si="7"/>
        <v>0.71229786642501747</v>
      </c>
      <c r="J25" s="41">
        <f t="shared" si="8"/>
        <v>9.382529819914287E-2</v>
      </c>
      <c r="K25" s="36">
        <f t="shared" si="9"/>
        <v>3.2204349912106669</v>
      </c>
      <c r="M25" s="5">
        <v>40849</v>
      </c>
      <c r="N25" s="7">
        <v>0.42430555555555555</v>
      </c>
      <c r="O25" s="7">
        <v>0.49791666666666662</v>
      </c>
      <c r="P25" s="3">
        <v>106</v>
      </c>
      <c r="Q25" s="25">
        <v>10494</v>
      </c>
      <c r="R25" s="11"/>
      <c r="S25" s="7"/>
      <c r="T25" s="8"/>
      <c r="U25" s="36"/>
      <c r="V25" s="36"/>
    </row>
    <row r="26" spans="1:22" x14ac:dyDescent="0.3">
      <c r="A26" s="3">
        <f t="shared" si="3"/>
        <v>55</v>
      </c>
      <c r="B26" s="36">
        <f t="shared" si="0"/>
        <v>120</v>
      </c>
      <c r="C26" s="36">
        <f t="shared" si="1"/>
        <v>11156</v>
      </c>
      <c r="D26" s="13">
        <f t="shared" si="2"/>
        <v>92.966666666666669</v>
      </c>
      <c r="E26" s="13">
        <f t="shared" si="4"/>
        <v>80.698042440660473</v>
      </c>
      <c r="F26" s="13">
        <f>D48</f>
        <v>90.901408450704224</v>
      </c>
      <c r="G26" s="13">
        <f t="shared" si="5"/>
        <v>2.0652582159624444</v>
      </c>
      <c r="H26" s="13">
        <f t="shared" si="6"/>
        <v>5.9550445936106149</v>
      </c>
      <c r="I26" s="13">
        <f t="shared" si="7"/>
        <v>0.82341225520392236</v>
      </c>
      <c r="J26" s="41">
        <f t="shared" si="8"/>
        <v>0.11111438877890489</v>
      </c>
      <c r="K26" s="36">
        <f t="shared" si="9"/>
        <v>18.586775652178492</v>
      </c>
      <c r="M26" s="5">
        <v>40849</v>
      </c>
      <c r="N26" s="7">
        <v>0.49861111111111112</v>
      </c>
      <c r="O26" s="7">
        <v>0.58194444444444449</v>
      </c>
      <c r="P26" s="3">
        <v>120</v>
      </c>
      <c r="Q26" s="25">
        <v>11156</v>
      </c>
      <c r="R26" s="11"/>
      <c r="S26" s="7"/>
      <c r="T26" s="8"/>
      <c r="U26" s="36"/>
      <c r="V26" s="36"/>
    </row>
    <row r="27" spans="1:22" x14ac:dyDescent="0.3">
      <c r="A27" s="3">
        <f t="shared" si="3"/>
        <v>50</v>
      </c>
      <c r="B27" s="36">
        <f t="shared" si="0"/>
        <v>189</v>
      </c>
      <c r="C27" s="36">
        <f t="shared" si="1"/>
        <v>17190</v>
      </c>
      <c r="D27" s="13">
        <f t="shared" si="2"/>
        <v>90.952380952380949</v>
      </c>
      <c r="E27" s="13">
        <f t="shared" si="4"/>
        <v>78.683756726374753</v>
      </c>
      <c r="F27" s="13">
        <f>D47</f>
        <v>92.013513513513516</v>
      </c>
      <c r="G27" s="13">
        <f t="shared" si="5"/>
        <v>-1.0611325611325668</v>
      </c>
      <c r="H27" s="13">
        <f t="shared" si="6"/>
        <v>6.6479714535796317</v>
      </c>
      <c r="I27" s="13">
        <f t="shared" si="7"/>
        <v>0.9569424467790375</v>
      </c>
      <c r="J27" s="41">
        <f t="shared" si="8"/>
        <v>0.13353019157511514</v>
      </c>
      <c r="K27" s="36">
        <f t="shared" si="9"/>
        <v>-7.9467613175380247</v>
      </c>
      <c r="M27" s="5">
        <v>40849</v>
      </c>
      <c r="N27" s="7">
        <v>0.58263888888888882</v>
      </c>
      <c r="O27" s="7">
        <v>0.71388888888888891</v>
      </c>
      <c r="P27" s="3">
        <v>189</v>
      </c>
      <c r="Q27" s="25">
        <v>17190</v>
      </c>
      <c r="R27" s="11"/>
      <c r="S27" s="7"/>
      <c r="T27" s="8"/>
      <c r="U27" s="36"/>
      <c r="V27" s="36"/>
    </row>
    <row r="28" spans="1:22" x14ac:dyDescent="0.3">
      <c r="A28" s="3">
        <f t="shared" si="3"/>
        <v>45</v>
      </c>
      <c r="B28" s="36">
        <f t="shared" si="0"/>
        <v>134</v>
      </c>
      <c r="C28" s="36">
        <f t="shared" si="1"/>
        <v>12607</v>
      </c>
      <c r="D28" s="13">
        <f t="shared" si="2"/>
        <v>94.082089552238813</v>
      </c>
      <c r="E28" s="13">
        <f t="shared" si="4"/>
        <v>81.813465326232617</v>
      </c>
      <c r="F28" s="13">
        <f>D46</f>
        <v>85.145038167938935</v>
      </c>
      <c r="G28" s="13">
        <f t="shared" si="5"/>
        <v>8.9370513842998776</v>
      </c>
      <c r="H28" s="13">
        <f t="shared" si="6"/>
        <v>7.4840620433565954</v>
      </c>
      <c r="I28" s="13">
        <f t="shared" si="7"/>
        <v>1.1203013982320613</v>
      </c>
      <c r="J28" s="41">
        <f t="shared" si="8"/>
        <v>0.16335895145302382</v>
      </c>
      <c r="K28" s="36">
        <f t="shared" si="9"/>
        <v>54.708060408124332</v>
      </c>
      <c r="M28" s="5">
        <v>40850</v>
      </c>
      <c r="N28" s="7">
        <v>0.32500000000000001</v>
      </c>
      <c r="O28" s="7">
        <v>0.41805555555555557</v>
      </c>
      <c r="P28" s="3">
        <v>134</v>
      </c>
      <c r="Q28" s="25">
        <v>12607</v>
      </c>
      <c r="R28" s="10"/>
      <c r="S28" s="3"/>
      <c r="T28" s="8"/>
      <c r="U28" s="36"/>
      <c r="V28" s="36"/>
    </row>
    <row r="29" spans="1:22" x14ac:dyDescent="0.3">
      <c r="A29" s="3">
        <f t="shared" si="3"/>
        <v>40</v>
      </c>
      <c r="B29" s="36">
        <f t="shared" si="0"/>
        <v>266</v>
      </c>
      <c r="C29" s="36">
        <f t="shared" si="1"/>
        <v>26866</v>
      </c>
      <c r="D29" s="13">
        <f t="shared" si="2"/>
        <v>101</v>
      </c>
      <c r="E29" s="13">
        <f t="shared" si="4"/>
        <v>88.731375773993804</v>
      </c>
      <c r="F29" s="13">
        <f>D45</f>
        <v>84.893333333333331</v>
      </c>
      <c r="G29" s="13">
        <f t="shared" si="5"/>
        <v>16.106666666666669</v>
      </c>
      <c r="H29" s="13">
        <f t="shared" si="6"/>
        <v>8.5171800003093292</v>
      </c>
      <c r="I29" s="13">
        <f t="shared" si="7"/>
        <v>1.3246166201445688</v>
      </c>
      <c r="J29" s="41">
        <f t="shared" si="8"/>
        <v>0.20431522191250751</v>
      </c>
      <c r="K29" s="36">
        <f t="shared" si="9"/>
        <v>78.832436055909312</v>
      </c>
      <c r="M29" s="5">
        <v>40850</v>
      </c>
      <c r="N29" s="7">
        <v>0.41875000000000001</v>
      </c>
      <c r="O29" s="7">
        <v>0.60347222222222219</v>
      </c>
      <c r="P29" s="3">
        <v>266</v>
      </c>
      <c r="Q29" s="25">
        <v>26866</v>
      </c>
      <c r="R29" s="11"/>
      <c r="S29" s="7"/>
      <c r="T29" s="8"/>
      <c r="U29" s="36"/>
      <c r="V29" s="36"/>
    </row>
    <row r="30" spans="1:22" x14ac:dyDescent="0.3">
      <c r="A30" s="3">
        <f t="shared" si="3"/>
        <v>35</v>
      </c>
      <c r="B30" s="36">
        <f t="shared" si="0"/>
        <v>176</v>
      </c>
      <c r="C30" s="36">
        <f t="shared" si="1"/>
        <v>14811</v>
      </c>
      <c r="D30" s="13">
        <f t="shared" si="2"/>
        <v>84.153409090909093</v>
      </c>
      <c r="E30" s="13">
        <f t="shared" si="4"/>
        <v>71.884784864902898</v>
      </c>
      <c r="F30" s="13">
        <f>D44</f>
        <v>79.978632478632477</v>
      </c>
      <c r="G30" s="13">
        <f t="shared" si="5"/>
        <v>4.1747766122766166</v>
      </c>
      <c r="H30" s="13">
        <f t="shared" si="6"/>
        <v>9.8319438873259593</v>
      </c>
      <c r="I30" s="13">
        <f t="shared" si="7"/>
        <v>1.5873828179673266</v>
      </c>
      <c r="J30" s="41">
        <f t="shared" si="8"/>
        <v>0.26276619782275779</v>
      </c>
      <c r="K30" s="36">
        <f t="shared" si="9"/>
        <v>15.887799294080455</v>
      </c>
      <c r="M30" s="5">
        <v>40851</v>
      </c>
      <c r="N30" s="7">
        <v>0.33680555555555558</v>
      </c>
      <c r="O30" s="7">
        <v>0.45902777777777781</v>
      </c>
      <c r="P30" s="3">
        <v>176</v>
      </c>
      <c r="Q30" s="25">
        <v>14811</v>
      </c>
      <c r="R30" s="24"/>
      <c r="S30" s="22"/>
      <c r="T30" s="3"/>
      <c r="U30" s="36"/>
      <c r="V30" s="36"/>
    </row>
    <row r="31" spans="1:22" x14ac:dyDescent="0.3">
      <c r="A31" s="3">
        <f t="shared" si="3"/>
        <v>30</v>
      </c>
      <c r="B31" s="36">
        <f t="shared" si="0"/>
        <v>196</v>
      </c>
      <c r="C31" s="36">
        <f t="shared" si="1"/>
        <v>15206</v>
      </c>
      <c r="D31" s="13">
        <f t="shared" si="2"/>
        <v>77.58163265306122</v>
      </c>
      <c r="E31" s="13">
        <f t="shared" si="4"/>
        <v>65.313008427055024</v>
      </c>
      <c r="F31" s="13">
        <f>D43</f>
        <v>81.263157894736835</v>
      </c>
      <c r="G31" s="13">
        <f t="shared" si="5"/>
        <v>-3.6815252416756152</v>
      </c>
      <c r="H31" s="13">
        <f t="shared" si="6"/>
        <v>11.56935750346352</v>
      </c>
      <c r="I31" s="13">
        <f t="shared" si="7"/>
        <v>1.9377672543255851</v>
      </c>
      <c r="J31" s="41">
        <f t="shared" si="8"/>
        <v>0.35038443635825844</v>
      </c>
      <c r="K31" s="36">
        <f t="shared" si="9"/>
        <v>-10.507102655414057</v>
      </c>
      <c r="M31" s="5">
        <v>40854</v>
      </c>
      <c r="N31" s="7">
        <v>0.37708333333333338</v>
      </c>
      <c r="O31" s="7">
        <v>0.5131944444444444</v>
      </c>
      <c r="P31" s="3">
        <v>196</v>
      </c>
      <c r="Q31" s="25">
        <v>15206</v>
      </c>
      <c r="R31" s="24"/>
      <c r="S31" s="23"/>
      <c r="T31" s="7"/>
      <c r="U31" s="36"/>
      <c r="V31" s="36"/>
    </row>
    <row r="32" spans="1:22" x14ac:dyDescent="0.3">
      <c r="A32" s="3">
        <f t="shared" si="3"/>
        <v>25</v>
      </c>
      <c r="B32" s="36">
        <f t="shared" si="0"/>
        <v>130</v>
      </c>
      <c r="C32" s="36">
        <f t="shared" si="1"/>
        <v>10274</v>
      </c>
      <c r="D32" s="13">
        <f t="shared" si="2"/>
        <v>79.030769230769238</v>
      </c>
      <c r="E32" s="13">
        <f t="shared" si="4"/>
        <v>66.762145004763042</v>
      </c>
      <c r="F32" s="13">
        <f>D42</f>
        <v>78.473684210526315</v>
      </c>
      <c r="G32" s="13">
        <f t="shared" si="5"/>
        <v>0.55708502024292272</v>
      </c>
      <c r="H32" s="13">
        <f t="shared" si="6"/>
        <v>13.983196361352379</v>
      </c>
      <c r="I32" s="13">
        <f t="shared" si="7"/>
        <v>2.4282816407744003</v>
      </c>
      <c r="J32" s="41">
        <f t="shared" si="8"/>
        <v>0.49051438644881529</v>
      </c>
      <c r="K32" s="36">
        <f t="shared" si="9"/>
        <v>1.1357159660006302</v>
      </c>
      <c r="M32" s="5">
        <v>40854</v>
      </c>
      <c r="N32" s="7">
        <v>0.51388888888888895</v>
      </c>
      <c r="O32" s="7">
        <v>0.60416666666666663</v>
      </c>
      <c r="P32" s="3">
        <v>130</v>
      </c>
      <c r="Q32" s="25">
        <v>10274</v>
      </c>
      <c r="R32" s="24"/>
      <c r="S32" s="23"/>
      <c r="T32" s="7"/>
      <c r="U32" s="36"/>
      <c r="V32" s="36"/>
    </row>
    <row r="33" spans="1:22" x14ac:dyDescent="0.3">
      <c r="A33" s="3">
        <f t="shared" si="3"/>
        <v>20</v>
      </c>
      <c r="B33" s="36">
        <f t="shared" si="0"/>
        <v>162</v>
      </c>
      <c r="C33" s="36">
        <f t="shared" si="1"/>
        <v>12888</v>
      </c>
      <c r="D33" s="13">
        <f t="shared" si="2"/>
        <v>79.555555555555557</v>
      </c>
      <c r="E33" s="13">
        <f t="shared" si="4"/>
        <v>67.286931329549361</v>
      </c>
      <c r="F33" s="13">
        <f>D41</f>
        <v>81.453416149068318</v>
      </c>
      <c r="G33" s="13">
        <f t="shared" si="5"/>
        <v>-1.8978605935127604</v>
      </c>
      <c r="H33" s="13">
        <f t="shared" si="6"/>
        <v>17.5809736408149</v>
      </c>
      <c r="I33" s="13">
        <f t="shared" si="7"/>
        <v>3.1639619838959154</v>
      </c>
      <c r="J33" s="41">
        <f t="shared" si="8"/>
        <v>0.73568034312151509</v>
      </c>
      <c r="K33" s="36">
        <f t="shared" si="9"/>
        <v>-2.5797353582400713</v>
      </c>
      <c r="M33" s="5">
        <v>40854</v>
      </c>
      <c r="N33" s="7">
        <v>0.60486111111111118</v>
      </c>
      <c r="O33" s="7">
        <v>0.71736111111111101</v>
      </c>
      <c r="P33" s="3">
        <v>162</v>
      </c>
      <c r="Q33" s="25">
        <v>12888</v>
      </c>
      <c r="R33" s="24"/>
      <c r="S33" s="23"/>
      <c r="T33" s="14"/>
      <c r="U33" s="36"/>
      <c r="V33" s="36"/>
    </row>
    <row r="34" spans="1:22" x14ac:dyDescent="0.3">
      <c r="A34" s="3">
        <f t="shared" si="3"/>
        <v>15</v>
      </c>
      <c r="B34" s="36">
        <f t="shared" si="0"/>
        <v>129</v>
      </c>
      <c r="C34" s="36">
        <f t="shared" si="1"/>
        <v>10546</v>
      </c>
      <c r="D34" s="13">
        <f t="shared" si="2"/>
        <v>81.751937984496124</v>
      </c>
      <c r="E34" s="13">
        <f t="shared" si="4"/>
        <v>69.483313758489928</v>
      </c>
      <c r="F34" s="13">
        <f>D40</f>
        <v>78.75</v>
      </c>
      <c r="G34" s="13">
        <f t="shared" si="5"/>
        <v>3.0019379844961236</v>
      </c>
      <c r="H34" s="13">
        <f t="shared" si="6"/>
        <v>23.54683774944797</v>
      </c>
      <c r="I34" s="13">
        <f t="shared" si="7"/>
        <v>4.3899082765526005</v>
      </c>
      <c r="J34" s="41">
        <f t="shared" si="8"/>
        <v>1.2259462926566851</v>
      </c>
      <c r="K34" s="36">
        <f t="shared" si="9"/>
        <v>2.448670062038997</v>
      </c>
      <c r="M34" s="5">
        <v>40855</v>
      </c>
      <c r="N34" s="7">
        <v>0.3347222222222222</v>
      </c>
      <c r="O34" s="7">
        <v>0.42430555555555555</v>
      </c>
      <c r="P34" s="3">
        <v>129</v>
      </c>
      <c r="Q34" s="26">
        <v>10546</v>
      </c>
      <c r="R34" s="24"/>
      <c r="S34" s="22"/>
      <c r="T34" s="3"/>
      <c r="U34" s="36"/>
      <c r="V34" s="36"/>
    </row>
    <row r="35" spans="1:22" x14ac:dyDescent="0.3">
      <c r="A35" s="3">
        <f t="shared" si="3"/>
        <v>10</v>
      </c>
      <c r="B35" s="36">
        <f t="shared" si="0"/>
        <v>151</v>
      </c>
      <c r="C35" s="36">
        <f t="shared" si="1"/>
        <v>13103</v>
      </c>
      <c r="D35" s="13">
        <f t="shared" si="2"/>
        <v>86.774834437086099</v>
      </c>
      <c r="E35" s="13">
        <f t="shared" si="4"/>
        <v>74.506210211079903</v>
      </c>
      <c r="F35" s="13">
        <f>D39</f>
        <v>84.121212121212125</v>
      </c>
      <c r="G35" s="13">
        <f t="shared" si="5"/>
        <v>2.6536223158739745</v>
      </c>
      <c r="H35" s="13">
        <f t="shared" si="6"/>
        <v>35.433162138560164</v>
      </c>
      <c r="I35" s="13">
        <f t="shared" si="7"/>
        <v>6.8414434881923754</v>
      </c>
      <c r="J35" s="41">
        <f t="shared" si="8"/>
        <v>2.4515352116397748</v>
      </c>
      <c r="K35" s="36">
        <f t="shared" si="9"/>
        <v>1.0824328784978081</v>
      </c>
      <c r="M35" s="5">
        <v>40855</v>
      </c>
      <c r="N35" s="7">
        <v>0.42499999999999999</v>
      </c>
      <c r="O35" s="7">
        <v>0.52986111111111112</v>
      </c>
      <c r="P35" s="3">
        <v>151</v>
      </c>
      <c r="Q35" s="26">
        <v>13103</v>
      </c>
      <c r="R35" s="24"/>
      <c r="S35" s="23"/>
      <c r="T35" s="7"/>
      <c r="U35" s="36"/>
      <c r="V35" s="36"/>
    </row>
    <row r="36" spans="1:22" x14ac:dyDescent="0.3">
      <c r="A36" s="3">
        <f t="shared" si="3"/>
        <v>5</v>
      </c>
      <c r="B36" s="36">
        <f t="shared" si="0"/>
        <v>221</v>
      </c>
      <c r="C36" s="36">
        <f t="shared" si="1"/>
        <v>19329</v>
      </c>
      <c r="D36" s="13">
        <f t="shared" si="2"/>
        <v>87.461538461538467</v>
      </c>
      <c r="E36" s="13">
        <f t="shared" si="4"/>
        <v>75.192914235532271</v>
      </c>
      <c r="F36" s="13">
        <f>D38</f>
        <v>86.509090909090915</v>
      </c>
      <c r="G36" s="13">
        <f t="shared" si="5"/>
        <v>0.95244755244755197</v>
      </c>
      <c r="H36" s="13">
        <f t="shared" si="6"/>
        <v>71.001673200136722</v>
      </c>
      <c r="I36" s="13">
        <f t="shared" si="7"/>
        <v>14.195226939743502</v>
      </c>
      <c r="J36" s="41">
        <f t="shared" si="8"/>
        <v>7.3537834515511271</v>
      </c>
      <c r="K36" s="36">
        <f t="shared" si="9"/>
        <v>0.1295180309187175</v>
      </c>
      <c r="M36" s="5">
        <v>40855</v>
      </c>
      <c r="N36" s="7">
        <v>0.53055555555555556</v>
      </c>
      <c r="O36" s="7">
        <v>0.68402777777777779</v>
      </c>
      <c r="P36" s="3">
        <v>221</v>
      </c>
      <c r="Q36" s="26">
        <v>19329</v>
      </c>
      <c r="R36" s="24"/>
      <c r="S36" s="22"/>
      <c r="T36" s="3"/>
      <c r="U36" s="36"/>
      <c r="V36" s="36"/>
    </row>
    <row r="37" spans="1:22" x14ac:dyDescent="0.3">
      <c r="A37" s="3">
        <f t="shared" si="3"/>
        <v>0</v>
      </c>
      <c r="B37" s="36">
        <f t="shared" si="0"/>
        <v>177</v>
      </c>
      <c r="C37" s="36">
        <f t="shared" si="1"/>
        <v>15781</v>
      </c>
      <c r="D37" s="13">
        <f t="shared" si="2"/>
        <v>89.158192090395474</v>
      </c>
      <c r="E37" s="13">
        <f t="shared" si="4"/>
        <v>76.889567864389278</v>
      </c>
      <c r="F37" s="13">
        <f>D37</f>
        <v>89.158192090395474</v>
      </c>
      <c r="G37" s="13">
        <f t="shared" si="5"/>
        <v>0</v>
      </c>
      <c r="H37" s="13"/>
      <c r="M37" s="5">
        <v>40856</v>
      </c>
      <c r="N37" s="7">
        <v>0.29583333333333334</v>
      </c>
      <c r="O37" s="7">
        <v>0.41875000000000001</v>
      </c>
      <c r="P37" s="3">
        <v>177</v>
      </c>
      <c r="Q37" s="26">
        <v>15781</v>
      </c>
      <c r="R37" s="24"/>
      <c r="S37" s="23"/>
      <c r="T37" s="7"/>
      <c r="U37" s="36"/>
      <c r="V37" s="36"/>
    </row>
    <row r="38" spans="1:22" x14ac:dyDescent="0.3">
      <c r="A38" s="3">
        <f t="shared" si="3"/>
        <v>-5</v>
      </c>
      <c r="B38" s="36">
        <f t="shared" si="0"/>
        <v>165</v>
      </c>
      <c r="C38" s="36">
        <f t="shared" si="1"/>
        <v>14274</v>
      </c>
      <c r="D38" s="13">
        <f t="shared" si="2"/>
        <v>86.509090909090915</v>
      </c>
      <c r="E38" s="13">
        <f t="shared" si="4"/>
        <v>74.240466683084719</v>
      </c>
      <c r="G38" s="3"/>
      <c r="M38" s="5">
        <v>40856</v>
      </c>
      <c r="N38" s="7">
        <v>0.41944444444444445</v>
      </c>
      <c r="O38" s="7">
        <v>0.53402777777777777</v>
      </c>
      <c r="P38" s="3">
        <v>165</v>
      </c>
      <c r="Q38" s="26">
        <v>14274</v>
      </c>
      <c r="R38" s="24"/>
      <c r="S38" s="22"/>
      <c r="T38" s="3"/>
      <c r="U38" s="36"/>
      <c r="V38" s="36"/>
    </row>
    <row r="39" spans="1:22" x14ac:dyDescent="0.3">
      <c r="A39" s="3">
        <f t="shared" si="3"/>
        <v>-10</v>
      </c>
      <c r="B39" s="36">
        <f t="shared" si="0"/>
        <v>198</v>
      </c>
      <c r="C39" s="36">
        <f t="shared" si="1"/>
        <v>16656</v>
      </c>
      <c r="D39" s="13">
        <f t="shared" si="2"/>
        <v>84.121212121212125</v>
      </c>
      <c r="E39" s="13">
        <f t="shared" si="4"/>
        <v>71.852587895205929</v>
      </c>
      <c r="F39" s="13"/>
      <c r="G39" s="3"/>
      <c r="M39" s="5">
        <v>40856</v>
      </c>
      <c r="N39" s="7">
        <v>0.53472222222222221</v>
      </c>
      <c r="O39" s="7">
        <v>0.67222222222222217</v>
      </c>
      <c r="P39" s="3">
        <v>198</v>
      </c>
      <c r="Q39" s="26">
        <v>16656</v>
      </c>
      <c r="R39" s="24"/>
      <c r="S39" s="23"/>
      <c r="T39" s="7"/>
      <c r="U39" s="36"/>
      <c r="V39" s="36"/>
    </row>
    <row r="40" spans="1:22" x14ac:dyDescent="0.3">
      <c r="A40" s="3">
        <f t="shared" si="3"/>
        <v>-15</v>
      </c>
      <c r="B40" s="36">
        <f t="shared" si="0"/>
        <v>144</v>
      </c>
      <c r="C40" s="36">
        <f t="shared" si="1"/>
        <v>11340</v>
      </c>
      <c r="D40" s="13">
        <f t="shared" si="2"/>
        <v>78.75</v>
      </c>
      <c r="E40" s="13">
        <f t="shared" si="4"/>
        <v>66.481375773993804</v>
      </c>
      <c r="F40" s="13"/>
      <c r="G40" s="3"/>
      <c r="M40" s="5">
        <v>40862</v>
      </c>
      <c r="N40" s="7">
        <v>0.32500000000000001</v>
      </c>
      <c r="O40" s="7">
        <v>0.42499999999999999</v>
      </c>
      <c r="P40" s="3">
        <v>144</v>
      </c>
      <c r="Q40" s="26">
        <v>11340</v>
      </c>
      <c r="R40" s="24"/>
      <c r="S40" s="22"/>
      <c r="T40" s="3"/>
      <c r="U40" s="36"/>
      <c r="V40" s="36"/>
    </row>
    <row r="41" spans="1:22" x14ac:dyDescent="0.3">
      <c r="A41" s="3">
        <f t="shared" si="3"/>
        <v>-20</v>
      </c>
      <c r="B41" s="36">
        <f t="shared" si="0"/>
        <v>161</v>
      </c>
      <c r="C41" s="36">
        <f t="shared" si="1"/>
        <v>13114</v>
      </c>
      <c r="D41" s="13">
        <f t="shared" si="2"/>
        <v>81.453416149068318</v>
      </c>
      <c r="E41" s="13">
        <f t="shared" si="4"/>
        <v>69.184791923062122</v>
      </c>
      <c r="F41" s="13"/>
      <c r="G41" s="3"/>
      <c r="M41" s="5">
        <v>40857</v>
      </c>
      <c r="N41" s="7">
        <v>0.31666666666666665</v>
      </c>
      <c r="O41" s="7">
        <v>0.4284722222222222</v>
      </c>
      <c r="P41" s="3">
        <v>161</v>
      </c>
      <c r="Q41" s="26">
        <v>13114</v>
      </c>
      <c r="R41" s="24"/>
      <c r="S41" s="22"/>
      <c r="T41" s="3"/>
      <c r="U41" s="36"/>
      <c r="V41" s="36"/>
    </row>
    <row r="42" spans="1:22" x14ac:dyDescent="0.3">
      <c r="A42" s="3">
        <f t="shared" si="3"/>
        <v>-25</v>
      </c>
      <c r="B42" s="36">
        <f t="shared" si="0"/>
        <v>266</v>
      </c>
      <c r="C42" s="36">
        <f t="shared" si="1"/>
        <v>20874</v>
      </c>
      <c r="D42" s="13">
        <f t="shared" si="2"/>
        <v>78.473684210526315</v>
      </c>
      <c r="E42" s="13">
        <f t="shared" si="4"/>
        <v>66.205059984520119</v>
      </c>
      <c r="F42" s="13"/>
      <c r="G42" s="3"/>
      <c r="M42" s="5">
        <v>40862</v>
      </c>
      <c r="N42" s="7">
        <v>0.42569444444444443</v>
      </c>
      <c r="O42" s="7">
        <v>0.61041666666666672</v>
      </c>
      <c r="P42" s="3">
        <v>266</v>
      </c>
      <c r="Q42" s="26">
        <v>20874</v>
      </c>
      <c r="R42" s="24"/>
      <c r="S42" s="22"/>
      <c r="T42" s="3"/>
      <c r="U42" s="36"/>
      <c r="V42" s="36"/>
    </row>
    <row r="43" spans="1:22" x14ac:dyDescent="0.3">
      <c r="A43" s="3">
        <f t="shared" si="3"/>
        <v>-30</v>
      </c>
      <c r="B43" s="36">
        <f t="shared" si="0"/>
        <v>247</v>
      </c>
      <c r="C43" s="36">
        <f t="shared" si="1"/>
        <v>20072</v>
      </c>
      <c r="D43" s="13">
        <f t="shared" si="2"/>
        <v>81.263157894736835</v>
      </c>
      <c r="E43" s="13">
        <f t="shared" si="4"/>
        <v>68.994533668730639</v>
      </c>
      <c r="F43" s="13"/>
      <c r="G43" s="3"/>
      <c r="M43" s="5">
        <v>40857</v>
      </c>
      <c r="N43" s="7">
        <v>0.42986111111111108</v>
      </c>
      <c r="O43" s="7">
        <v>0.60138888888888886</v>
      </c>
      <c r="P43" s="3">
        <v>247</v>
      </c>
      <c r="Q43" s="26">
        <v>20072</v>
      </c>
      <c r="R43" s="24"/>
      <c r="S43" s="22"/>
      <c r="T43" s="3"/>
      <c r="U43" s="36"/>
      <c r="V43" s="36"/>
    </row>
    <row r="44" spans="1:22" x14ac:dyDescent="0.3">
      <c r="A44" s="3">
        <f t="shared" si="3"/>
        <v>-35</v>
      </c>
      <c r="B44" s="36">
        <f t="shared" si="0"/>
        <v>234</v>
      </c>
      <c r="C44" s="36">
        <f t="shared" si="1"/>
        <v>18715</v>
      </c>
      <c r="D44" s="13">
        <f t="shared" si="2"/>
        <v>79.978632478632477</v>
      </c>
      <c r="E44" s="13">
        <f t="shared" si="4"/>
        <v>67.710008252626281</v>
      </c>
      <c r="F44" s="13"/>
      <c r="G44" s="3"/>
      <c r="M44" s="5">
        <v>40862</v>
      </c>
      <c r="N44" s="7">
        <v>0.6118055555555556</v>
      </c>
      <c r="O44" s="7">
        <v>0.69166666666666676</v>
      </c>
      <c r="P44" s="3">
        <v>115</v>
      </c>
      <c r="Q44" s="26">
        <v>9198</v>
      </c>
      <c r="R44" s="34">
        <v>40863</v>
      </c>
      <c r="S44" s="35">
        <v>0.2902777777777778</v>
      </c>
      <c r="T44" s="7">
        <v>0.37291666666666662</v>
      </c>
      <c r="U44" s="36">
        <v>119</v>
      </c>
      <c r="V44" s="36">
        <v>9517</v>
      </c>
    </row>
    <row r="45" spans="1:22" x14ac:dyDescent="0.3">
      <c r="A45" s="3">
        <f t="shared" si="3"/>
        <v>-40</v>
      </c>
      <c r="B45" s="36">
        <f t="shared" si="0"/>
        <v>150</v>
      </c>
      <c r="C45" s="36">
        <f t="shared" si="1"/>
        <v>12734</v>
      </c>
      <c r="D45" s="13">
        <f t="shared" si="2"/>
        <v>84.893333333333331</v>
      </c>
      <c r="E45" s="13">
        <f t="shared" si="4"/>
        <v>72.624709107327135</v>
      </c>
      <c r="F45" s="13"/>
      <c r="G45" s="3"/>
      <c r="M45" s="5">
        <v>40857</v>
      </c>
      <c r="N45" s="7">
        <v>0.6020833333333333</v>
      </c>
      <c r="O45" s="7">
        <v>0.70624999999999993</v>
      </c>
      <c r="P45" s="3">
        <v>150</v>
      </c>
      <c r="Q45" s="26">
        <v>12734</v>
      </c>
      <c r="R45" s="24"/>
      <c r="S45" s="22"/>
      <c r="T45" s="3"/>
      <c r="U45" s="36"/>
      <c r="V45" s="36"/>
    </row>
    <row r="46" spans="1:22" x14ac:dyDescent="0.3">
      <c r="A46" s="3">
        <f t="shared" si="3"/>
        <v>-45</v>
      </c>
      <c r="B46" s="36">
        <f t="shared" si="0"/>
        <v>131</v>
      </c>
      <c r="C46" s="36">
        <f t="shared" si="1"/>
        <v>11154</v>
      </c>
      <c r="D46" s="13">
        <f t="shared" si="2"/>
        <v>85.145038167938935</v>
      </c>
      <c r="E46" s="13">
        <f t="shared" si="4"/>
        <v>72.876413941932739</v>
      </c>
      <c r="F46" s="13"/>
      <c r="G46" s="3"/>
      <c r="M46" s="5">
        <v>40863</v>
      </c>
      <c r="N46" s="7">
        <v>0.37361111111111112</v>
      </c>
      <c r="O46" s="7">
        <v>0.46458333333333335</v>
      </c>
      <c r="P46" s="3">
        <v>131</v>
      </c>
      <c r="Q46" s="26">
        <v>11154</v>
      </c>
      <c r="R46" s="24"/>
      <c r="S46" s="22"/>
      <c r="T46" s="3"/>
      <c r="U46" s="36"/>
      <c r="V46" s="36"/>
    </row>
    <row r="47" spans="1:22" x14ac:dyDescent="0.3">
      <c r="A47" s="3">
        <f t="shared" si="3"/>
        <v>-50</v>
      </c>
      <c r="B47" s="36">
        <f t="shared" si="0"/>
        <v>148</v>
      </c>
      <c r="C47" s="36">
        <f t="shared" si="1"/>
        <v>13618</v>
      </c>
      <c r="D47" s="13">
        <f t="shared" si="2"/>
        <v>92.013513513513516</v>
      </c>
      <c r="E47" s="13">
        <f t="shared" si="4"/>
        <v>79.74488928750732</v>
      </c>
      <c r="F47" s="13"/>
      <c r="G47" s="3"/>
      <c r="M47" s="5">
        <v>40858</v>
      </c>
      <c r="N47" s="7">
        <v>0.31666666666666665</v>
      </c>
      <c r="O47" s="7">
        <v>0.41944444444444445</v>
      </c>
      <c r="P47" s="3">
        <v>148</v>
      </c>
      <c r="Q47" s="26">
        <v>13618</v>
      </c>
      <c r="R47" s="24"/>
      <c r="S47" s="22"/>
      <c r="T47" s="3"/>
      <c r="U47" s="36"/>
      <c r="V47" s="36"/>
    </row>
    <row r="48" spans="1:22" x14ac:dyDescent="0.3">
      <c r="A48" s="3">
        <f t="shared" si="3"/>
        <v>-55</v>
      </c>
      <c r="B48" s="36">
        <f t="shared" si="0"/>
        <v>142</v>
      </c>
      <c r="C48" s="36">
        <f t="shared" si="1"/>
        <v>12908</v>
      </c>
      <c r="D48" s="13">
        <f t="shared" si="2"/>
        <v>90.901408450704224</v>
      </c>
      <c r="E48" s="13">
        <f t="shared" si="4"/>
        <v>78.632784224698028</v>
      </c>
      <c r="F48" s="13"/>
      <c r="G48" s="3"/>
      <c r="M48" s="5">
        <v>40863</v>
      </c>
      <c r="N48" s="7">
        <v>0.46527777777777773</v>
      </c>
      <c r="O48" s="7">
        <v>0.56388888888888888</v>
      </c>
      <c r="P48" s="3">
        <v>142</v>
      </c>
      <c r="Q48" s="26">
        <v>12908</v>
      </c>
      <c r="R48" s="24"/>
      <c r="S48" s="22"/>
      <c r="T48" s="3"/>
      <c r="U48" s="36"/>
      <c r="V48" s="36"/>
    </row>
    <row r="49" spans="1:22" x14ac:dyDescent="0.3">
      <c r="A49" s="3">
        <f t="shared" si="3"/>
        <v>-60</v>
      </c>
      <c r="B49" s="36">
        <f t="shared" si="0"/>
        <v>139</v>
      </c>
      <c r="C49" s="36">
        <f t="shared" si="1"/>
        <v>13719</v>
      </c>
      <c r="D49" s="13">
        <f t="shared" si="2"/>
        <v>98.697841726618705</v>
      </c>
      <c r="E49" s="13">
        <f t="shared" si="4"/>
        <v>86.429217500612509</v>
      </c>
      <c r="F49" s="13"/>
      <c r="G49" s="3"/>
      <c r="M49" s="5">
        <v>40858</v>
      </c>
      <c r="N49" s="7">
        <v>0.4201388888888889</v>
      </c>
      <c r="O49" s="7">
        <v>0.51666666666666672</v>
      </c>
      <c r="P49" s="3">
        <v>139</v>
      </c>
      <c r="Q49" s="26">
        <v>13719</v>
      </c>
      <c r="R49" s="24"/>
      <c r="S49" s="22"/>
      <c r="T49" s="3"/>
      <c r="U49" s="36"/>
      <c r="V49" s="36"/>
    </row>
    <row r="50" spans="1:22" x14ac:dyDescent="0.3">
      <c r="A50" s="3">
        <f t="shared" si="3"/>
        <v>-65</v>
      </c>
      <c r="B50" s="36">
        <f t="shared" si="0"/>
        <v>112</v>
      </c>
      <c r="C50" s="36">
        <f t="shared" si="1"/>
        <v>11243</v>
      </c>
      <c r="D50" s="13">
        <f t="shared" si="2"/>
        <v>100.38392857142857</v>
      </c>
      <c r="E50" s="13">
        <f t="shared" si="4"/>
        <v>88.115304345422373</v>
      </c>
      <c r="F50" s="13"/>
      <c r="G50" s="3"/>
      <c r="M50" s="5">
        <v>40863</v>
      </c>
      <c r="N50" s="7">
        <v>0.56458333333333333</v>
      </c>
      <c r="O50" s="7">
        <v>0.62083333333333335</v>
      </c>
      <c r="P50" s="3">
        <v>81</v>
      </c>
      <c r="Q50" s="26">
        <v>8132</v>
      </c>
      <c r="R50" s="34">
        <v>40864</v>
      </c>
      <c r="S50" s="35">
        <v>0.30624999999999997</v>
      </c>
      <c r="T50" s="7">
        <v>0.32777777777777778</v>
      </c>
      <c r="U50" s="36">
        <v>31</v>
      </c>
      <c r="V50" s="36">
        <v>3111</v>
      </c>
    </row>
    <row r="51" spans="1:22" x14ac:dyDescent="0.3">
      <c r="A51" s="3">
        <f t="shared" si="3"/>
        <v>-70</v>
      </c>
      <c r="B51" s="36">
        <f t="shared" si="0"/>
        <v>107</v>
      </c>
      <c r="C51" s="36">
        <f t="shared" si="1"/>
        <v>11616</v>
      </c>
      <c r="D51" s="13">
        <f t="shared" si="2"/>
        <v>108.5607476635514</v>
      </c>
      <c r="E51" s="13">
        <f t="shared" si="4"/>
        <v>96.2921234375452</v>
      </c>
      <c r="F51" s="13"/>
      <c r="G51" s="3"/>
      <c r="M51" s="5">
        <v>40858</v>
      </c>
      <c r="N51" s="7">
        <v>0.51736111111111105</v>
      </c>
      <c r="O51" s="7">
        <v>0.59166666666666667</v>
      </c>
      <c r="P51" s="3">
        <v>107</v>
      </c>
      <c r="Q51" s="26">
        <v>11616</v>
      </c>
      <c r="R51" s="24"/>
      <c r="S51" s="22"/>
      <c r="T51" s="3"/>
      <c r="U51" s="36"/>
      <c r="V51" s="36"/>
    </row>
    <row r="52" spans="1:22" x14ac:dyDescent="0.3">
      <c r="A52" s="3">
        <f t="shared" si="3"/>
        <v>-75</v>
      </c>
      <c r="B52" s="36">
        <f t="shared" si="0"/>
        <v>138</v>
      </c>
      <c r="C52" s="36">
        <f t="shared" si="1"/>
        <v>15183</v>
      </c>
      <c r="D52" s="13">
        <f t="shared" si="2"/>
        <v>110.02173913043478</v>
      </c>
      <c r="E52" s="13">
        <f t="shared" si="4"/>
        <v>97.753114904428585</v>
      </c>
      <c r="F52" s="13"/>
      <c r="G52" s="3"/>
      <c r="M52" s="5">
        <v>40864</v>
      </c>
      <c r="N52" s="7">
        <v>0.32847222222222222</v>
      </c>
      <c r="O52" s="7">
        <v>0.42430555555555555</v>
      </c>
      <c r="P52" s="3">
        <v>138</v>
      </c>
      <c r="Q52" s="26">
        <v>15183</v>
      </c>
      <c r="R52" s="24"/>
      <c r="S52" s="22"/>
      <c r="T52" s="3"/>
      <c r="U52" s="36"/>
      <c r="V52" s="36"/>
    </row>
    <row r="53" spans="1:22" x14ac:dyDescent="0.3">
      <c r="A53" s="3">
        <f t="shared" si="3"/>
        <v>-80</v>
      </c>
      <c r="B53" s="36">
        <f t="shared" si="0"/>
        <v>125</v>
      </c>
      <c r="C53" s="36">
        <f t="shared" si="1"/>
        <v>14412</v>
      </c>
      <c r="D53" s="13">
        <f t="shared" si="2"/>
        <v>115.29600000000001</v>
      </c>
      <c r="E53" s="13">
        <f t="shared" si="4"/>
        <v>103.02737577399381</v>
      </c>
      <c r="F53" s="13"/>
      <c r="G53" s="3"/>
      <c r="M53" s="5">
        <v>40858</v>
      </c>
      <c r="N53" s="7">
        <v>0.59236111111111112</v>
      </c>
      <c r="O53" s="7">
        <v>0.6791666666666667</v>
      </c>
      <c r="P53" s="3">
        <v>125</v>
      </c>
      <c r="Q53" s="26">
        <v>14412</v>
      </c>
      <c r="R53" s="24"/>
      <c r="S53" s="22"/>
      <c r="T53" s="3"/>
      <c r="U53" s="36"/>
      <c r="V53" s="36"/>
    </row>
    <row r="54" spans="1:22" x14ac:dyDescent="0.3">
      <c r="A54" s="3">
        <f t="shared" si="3"/>
        <v>-85</v>
      </c>
      <c r="B54" s="36">
        <f t="shared" si="0"/>
        <v>98</v>
      </c>
      <c r="C54" s="36">
        <f t="shared" si="1"/>
        <v>11472</v>
      </c>
      <c r="D54" s="13">
        <f t="shared" si="2"/>
        <v>117.06122448979592</v>
      </c>
      <c r="E54" s="13">
        <f t="shared" si="4"/>
        <v>104.79260026378972</v>
      </c>
      <c r="F54" s="13"/>
      <c r="G54" s="3"/>
      <c r="M54" s="5">
        <v>40864</v>
      </c>
      <c r="N54" s="7">
        <v>0.42499999999999999</v>
      </c>
      <c r="O54" s="7">
        <v>0.49305555555555558</v>
      </c>
      <c r="P54" s="3">
        <v>98</v>
      </c>
      <c r="Q54" s="26">
        <v>11472</v>
      </c>
      <c r="R54" s="24"/>
      <c r="S54" s="22"/>
      <c r="T54" s="3"/>
      <c r="U54" s="36"/>
      <c r="V54" s="36"/>
    </row>
    <row r="55" spans="1:22" x14ac:dyDescent="0.3">
      <c r="A55" s="3">
        <f t="shared" si="3"/>
        <v>-90</v>
      </c>
      <c r="B55" s="36">
        <f t="shared" si="0"/>
        <v>97</v>
      </c>
      <c r="C55" s="36">
        <f t="shared" si="1"/>
        <v>12033</v>
      </c>
      <c r="D55" s="13">
        <f t="shared" si="2"/>
        <v>124.05154639175258</v>
      </c>
      <c r="E55" s="13">
        <f t="shared" si="4"/>
        <v>111.78292216574638</v>
      </c>
      <c r="F55" s="13"/>
      <c r="G55" s="3"/>
      <c r="M55" s="5">
        <v>40861</v>
      </c>
      <c r="N55" s="7">
        <v>0.28819444444444448</v>
      </c>
      <c r="O55" s="7">
        <v>0.35555555555555557</v>
      </c>
      <c r="P55" s="3">
        <v>97</v>
      </c>
      <c r="Q55" s="26">
        <v>12033</v>
      </c>
      <c r="R55" s="24"/>
      <c r="S55" s="22"/>
      <c r="T55" s="3"/>
      <c r="U55" s="36"/>
      <c r="V55" s="36"/>
    </row>
    <row r="56" spans="1:22" x14ac:dyDescent="0.3">
      <c r="A56" s="3">
        <f t="shared" si="3"/>
        <v>-95</v>
      </c>
      <c r="B56" s="36">
        <f t="shared" si="0"/>
        <v>98</v>
      </c>
      <c r="C56" s="36">
        <f t="shared" si="1"/>
        <v>12420</v>
      </c>
      <c r="D56" s="13">
        <f t="shared" si="2"/>
        <v>126.73469387755102</v>
      </c>
      <c r="E56" s="13">
        <f t="shared" si="4"/>
        <v>114.46606965154483</v>
      </c>
      <c r="F56" s="13"/>
      <c r="M56" s="5">
        <v>40864</v>
      </c>
      <c r="N56" s="7">
        <v>0.57430555555555551</v>
      </c>
      <c r="O56" s="7">
        <v>0.64236111111111105</v>
      </c>
      <c r="P56" s="3">
        <v>98</v>
      </c>
      <c r="Q56" s="26">
        <v>12420</v>
      </c>
      <c r="R56" s="24"/>
      <c r="S56" s="22"/>
      <c r="T56" s="3"/>
      <c r="U56" s="36"/>
      <c r="V56" s="36"/>
    </row>
    <row r="57" spans="1:22" x14ac:dyDescent="0.3">
      <c r="A57" s="3">
        <f t="shared" si="3"/>
        <v>-100</v>
      </c>
      <c r="B57" s="36">
        <f t="shared" si="0"/>
        <v>94</v>
      </c>
      <c r="C57" s="36">
        <f t="shared" si="1"/>
        <v>12569</v>
      </c>
      <c r="D57" s="13">
        <f t="shared" si="2"/>
        <v>133.71276595744681</v>
      </c>
      <c r="E57" s="13">
        <f t="shared" si="4"/>
        <v>121.44414173144061</v>
      </c>
      <c r="F57" s="13"/>
      <c r="M57" s="5">
        <v>40861</v>
      </c>
      <c r="N57" s="7">
        <v>0.35625000000000001</v>
      </c>
      <c r="O57" s="7">
        <v>0.42152777777777778</v>
      </c>
      <c r="P57" s="3">
        <v>94</v>
      </c>
      <c r="Q57" s="25">
        <v>12569</v>
      </c>
      <c r="R57" s="24"/>
      <c r="S57" s="24"/>
      <c r="U57" s="38"/>
      <c r="V57" s="38"/>
    </row>
    <row r="58" spans="1:22" x14ac:dyDescent="0.3">
      <c r="B58" s="36"/>
      <c r="C58" s="36"/>
      <c r="F58" s="13"/>
      <c r="Q58" s="28"/>
    </row>
    <row r="59" spans="1:22" x14ac:dyDescent="0.3">
      <c r="B59" s="36"/>
      <c r="C59" s="36"/>
      <c r="F59" s="13"/>
      <c r="Q59" s="28"/>
    </row>
    <row r="60" spans="1:22" x14ac:dyDescent="0.3">
      <c r="A60" s="15" t="s">
        <v>21</v>
      </c>
      <c r="B60" s="36">
        <f>P60+U60</f>
        <v>1216</v>
      </c>
      <c r="C60" s="36">
        <f>Q60+V60</f>
        <v>15266</v>
      </c>
      <c r="D60" s="17">
        <f>IF(B60=0, 0, (C60/B60))</f>
        <v>12.554276315789474</v>
      </c>
      <c r="E60" s="13">
        <f>IF(D60-'Tl-204'!$D$58&gt;0, D60-'Tl-204'!$D$58, 0)</f>
        <v>0</v>
      </c>
      <c r="F60" s="15"/>
      <c r="G60" s="15"/>
      <c r="M60" s="31">
        <v>40847</v>
      </c>
      <c r="N60" s="21">
        <v>0.47291666666666665</v>
      </c>
      <c r="O60" s="21">
        <v>0.31736111111111115</v>
      </c>
      <c r="P60" s="16">
        <v>1216</v>
      </c>
      <c r="Q60" s="27">
        <v>15266</v>
      </c>
    </row>
    <row r="61" spans="1:22" x14ac:dyDescent="0.3">
      <c r="B61" s="36">
        <f>P61+U61</f>
        <v>1292</v>
      </c>
      <c r="C61" s="36">
        <f>Q61+V61</f>
        <v>15482</v>
      </c>
      <c r="D61" s="17">
        <f>IF(B61=0, 0, (C61/B61))</f>
        <v>11.98297213622291</v>
      </c>
      <c r="E61" s="13">
        <f>IF(D61-'Tl-204'!$D$58&gt;0, D61-'Tl-204'!$D$58, 0)</f>
        <v>0</v>
      </c>
      <c r="M61" s="31">
        <v>40861</v>
      </c>
      <c r="N61" s="21">
        <v>0.42222222222222222</v>
      </c>
      <c r="O61" s="21">
        <v>0.31944444444444448</v>
      </c>
      <c r="P61" s="16">
        <v>1292</v>
      </c>
      <c r="Q61" s="33">
        <v>15482</v>
      </c>
    </row>
    <row r="62" spans="1:22" x14ac:dyDescent="0.3">
      <c r="A62" s="15" t="s">
        <v>30</v>
      </c>
      <c r="D62" s="17">
        <f>(D60+D61)/2</f>
        <v>12.268624226006192</v>
      </c>
      <c r="L62" s="28"/>
    </row>
    <row r="64" spans="1:22" x14ac:dyDescent="0.3">
      <c r="A64" t="s">
        <v>141</v>
      </c>
    </row>
    <row r="65" spans="1:1" x14ac:dyDescent="0.3">
      <c r="A65" t="s">
        <v>142</v>
      </c>
    </row>
    <row r="66" spans="1:1" x14ac:dyDescent="0.3">
      <c r="A66" t="s">
        <v>143</v>
      </c>
    </row>
    <row r="67" spans="1:1" x14ac:dyDescent="0.3">
      <c r="A67" t="s">
        <v>144</v>
      </c>
    </row>
    <row r="68" spans="1:1" x14ac:dyDescent="0.3">
      <c r="A68" t="s">
        <v>145</v>
      </c>
    </row>
  </sheetData>
  <hyperlinks>
    <hyperlink ref="F2" r:id="rId1"/>
  </hyperlinks>
  <pageMargins left="0.7" right="0.7" top="0.75" bottom="0.75" header="0.3" footer="0.3"/>
  <pageSetup orientation="landscape" horizontalDpi="1200" verticalDpi="120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42" workbookViewId="0">
      <selection activeCell="I18" sqref="I18"/>
    </sheetView>
  </sheetViews>
  <sheetFormatPr defaultColWidth="8.88671875" defaultRowHeight="14.4" x14ac:dyDescent="0.3"/>
  <cols>
    <col min="1" max="1" width="14" customWidth="1"/>
    <col min="2" max="2" width="7.88671875" customWidth="1"/>
    <col min="3" max="3" width="9" customWidth="1"/>
    <col min="4" max="4" width="13" customWidth="1"/>
    <col min="5" max="5" width="11.33203125" customWidth="1"/>
    <col min="6" max="6" width="7.44140625" customWidth="1"/>
    <col min="7" max="7" width="8.44140625" customWidth="1"/>
    <col min="8" max="8" width="11" customWidth="1"/>
    <col min="9" max="9" width="19.109375" customWidth="1"/>
    <col min="13" max="13" width="10.6640625" bestFit="1" customWidth="1"/>
    <col min="15" max="15" width="10.44140625" bestFit="1" customWidth="1"/>
    <col min="18" max="18" width="11" customWidth="1"/>
  </cols>
  <sheetData>
    <row r="1" spans="1:22" ht="18" x14ac:dyDescent="0.35">
      <c r="A1" s="6" t="s">
        <v>0</v>
      </c>
      <c r="E1" t="s">
        <v>1</v>
      </c>
    </row>
    <row r="2" spans="1:22" ht="18" x14ac:dyDescent="0.35">
      <c r="A2" s="6" t="s">
        <v>15</v>
      </c>
      <c r="E2" s="2" t="s">
        <v>2</v>
      </c>
      <c r="G2" s="2"/>
    </row>
    <row r="3" spans="1:22" x14ac:dyDescent="0.3">
      <c r="E3" s="1">
        <v>40864</v>
      </c>
      <c r="F3" t="s">
        <v>59</v>
      </c>
      <c r="G3" s="1"/>
    </row>
    <row r="4" spans="1:22" x14ac:dyDescent="0.3">
      <c r="E4" s="5">
        <v>40892</v>
      </c>
      <c r="F4" t="s">
        <v>60</v>
      </c>
    </row>
    <row r="5" spans="1:22" x14ac:dyDescent="0.3">
      <c r="A5" t="s">
        <v>3</v>
      </c>
    </row>
    <row r="6" spans="1:22" ht="15.6" x14ac:dyDescent="0.3">
      <c r="A6" s="20" t="s">
        <v>32</v>
      </c>
      <c r="E6" t="s">
        <v>33</v>
      </c>
    </row>
    <row r="7" spans="1:22" ht="16.8" x14ac:dyDescent="0.35">
      <c r="A7" t="s">
        <v>40</v>
      </c>
      <c r="B7" s="3">
        <v>0.51100000000000001</v>
      </c>
      <c r="C7" t="s">
        <v>41</v>
      </c>
      <c r="D7" t="s">
        <v>34</v>
      </c>
      <c r="E7" t="s">
        <v>86</v>
      </c>
      <c r="I7" t="s">
        <v>90</v>
      </c>
    </row>
    <row r="8" spans="1:22" ht="16.8" x14ac:dyDescent="0.35">
      <c r="A8" t="s">
        <v>8</v>
      </c>
      <c r="D8" t="s">
        <v>87</v>
      </c>
      <c r="E8" t="s">
        <v>88</v>
      </c>
      <c r="I8" t="s">
        <v>89</v>
      </c>
    </row>
    <row r="9" spans="1:22" x14ac:dyDescent="0.3">
      <c r="A9" t="s">
        <v>36</v>
      </c>
      <c r="B9" s="3">
        <v>6.2</v>
      </c>
      <c r="C9" t="s">
        <v>38</v>
      </c>
    </row>
    <row r="10" spans="1:22" x14ac:dyDescent="0.3">
      <c r="A10" t="s">
        <v>37</v>
      </c>
      <c r="B10" s="3">
        <v>6.9000000000000006E-2</v>
      </c>
      <c r="C10" t="s">
        <v>39</v>
      </c>
      <c r="D10" t="s">
        <v>80</v>
      </c>
    </row>
    <row r="11" spans="1:22" x14ac:dyDescent="0.3">
      <c r="A11" t="s">
        <v>50</v>
      </c>
    </row>
    <row r="12" spans="1:22" x14ac:dyDescent="0.3">
      <c r="A12" t="s">
        <v>7</v>
      </c>
    </row>
    <row r="13" spans="1:22" x14ac:dyDescent="0.3">
      <c r="A13" t="s">
        <v>28</v>
      </c>
      <c r="C13">
        <v>920</v>
      </c>
      <c r="D13" t="s">
        <v>27</v>
      </c>
    </row>
    <row r="14" spans="1:22" x14ac:dyDescent="0.3">
      <c r="G14" s="47" t="s">
        <v>57</v>
      </c>
      <c r="H14" s="4" t="s">
        <v>45</v>
      </c>
      <c r="I14" s="40"/>
    </row>
    <row r="15" spans="1:22" x14ac:dyDescent="0.3">
      <c r="A15" s="3" t="s">
        <v>9</v>
      </c>
      <c r="B15" s="3" t="s">
        <v>16</v>
      </c>
      <c r="C15" s="3" t="s">
        <v>16</v>
      </c>
      <c r="D15" s="19" t="s">
        <v>22</v>
      </c>
      <c r="E15" s="3" t="s">
        <v>23</v>
      </c>
      <c r="F15" s="39" t="s">
        <v>43</v>
      </c>
      <c r="G15" s="39" t="s">
        <v>58</v>
      </c>
      <c r="H15" s="3" t="s">
        <v>46</v>
      </c>
      <c r="I15" s="43" t="s">
        <v>48</v>
      </c>
      <c r="P15" s="4" t="s">
        <v>19</v>
      </c>
      <c r="Q15" s="28"/>
      <c r="R15" s="9"/>
      <c r="U15" s="4" t="s">
        <v>19</v>
      </c>
    </row>
    <row r="16" spans="1:22" x14ac:dyDescent="0.3">
      <c r="A16" s="3" t="s">
        <v>10</v>
      </c>
      <c r="B16" s="4" t="s">
        <v>12</v>
      </c>
      <c r="C16" s="4" t="s">
        <v>13</v>
      </c>
      <c r="D16" s="4" t="s">
        <v>14</v>
      </c>
      <c r="E16" s="30" t="s">
        <v>14</v>
      </c>
      <c r="F16" s="4" t="s">
        <v>44</v>
      </c>
      <c r="G16" s="4" t="s">
        <v>42</v>
      </c>
      <c r="H16" s="4" t="s">
        <v>47</v>
      </c>
      <c r="I16" s="44" t="s">
        <v>49</v>
      </c>
      <c r="M16" s="3" t="s">
        <v>11</v>
      </c>
      <c r="N16" s="3" t="s">
        <v>17</v>
      </c>
      <c r="O16" s="3" t="s">
        <v>18</v>
      </c>
      <c r="P16" s="4" t="s">
        <v>20</v>
      </c>
      <c r="Q16" s="32" t="s">
        <v>13</v>
      </c>
      <c r="R16" s="10" t="s">
        <v>11</v>
      </c>
      <c r="S16" s="3" t="s">
        <v>17</v>
      </c>
      <c r="T16" s="3" t="s">
        <v>18</v>
      </c>
      <c r="U16" s="4" t="s">
        <v>20</v>
      </c>
      <c r="V16" s="4" t="s">
        <v>13</v>
      </c>
    </row>
    <row r="17" spans="1:22" x14ac:dyDescent="0.3">
      <c r="A17" s="3">
        <v>-100</v>
      </c>
      <c r="B17" s="36">
        <f t="shared" ref="B17:B57" si="0">P17+U17</f>
        <v>247</v>
      </c>
      <c r="C17" s="36">
        <f t="shared" ref="C17:C57" si="1">Q17+V17</f>
        <v>13041</v>
      </c>
      <c r="D17" s="13">
        <f>C17/B17</f>
        <v>52.797570850202426</v>
      </c>
      <c r="E17" s="13">
        <f>D17-$D$60</f>
        <v>40.497570850202422</v>
      </c>
      <c r="F17" s="13">
        <f>($B$9/2)/TAN(ABS(RADIANS(A17)/2))</f>
        <v>2.6012088566495679</v>
      </c>
      <c r="G17" s="13">
        <f>$B$7*(SQRT((3*$B$10*F17/$B$7)^2+1)-1)</f>
        <v>0.23132718781499559</v>
      </c>
      <c r="M17" s="5">
        <v>40864</v>
      </c>
      <c r="N17" s="7">
        <v>0.7006944444444444</v>
      </c>
      <c r="O17" s="7">
        <v>0.73819444444444438</v>
      </c>
      <c r="P17" s="4">
        <v>54</v>
      </c>
      <c r="Q17" s="32">
        <v>2872</v>
      </c>
      <c r="R17" s="11">
        <v>40865</v>
      </c>
      <c r="S17" s="7">
        <v>0.31666666666666665</v>
      </c>
      <c r="T17" s="8">
        <v>0.45069444444444445</v>
      </c>
      <c r="U17" s="37">
        <v>193</v>
      </c>
      <c r="V17" s="37">
        <v>10169</v>
      </c>
    </row>
    <row r="18" spans="1:22" x14ac:dyDescent="0.3">
      <c r="A18" s="3">
        <f>A17+5</f>
        <v>-95</v>
      </c>
      <c r="B18" s="36">
        <f t="shared" si="0"/>
        <v>207</v>
      </c>
      <c r="C18" s="36">
        <f t="shared" si="1"/>
        <v>10815</v>
      </c>
      <c r="D18" s="13">
        <f t="shared" ref="D18:D57" si="2">C18/B18</f>
        <v>52.246376811594203</v>
      </c>
      <c r="E18" s="13">
        <f t="shared" ref="E18:E37" si="3">D18-$D$60</f>
        <v>39.946376811594206</v>
      </c>
      <c r="F18" s="13">
        <f t="shared" ref="F18:F36" si="4">($B$9/2)/TAN(ABS(RADIANS(A18)/2))</f>
        <v>2.8406266394540127</v>
      </c>
      <c r="G18" s="13">
        <f>$B$7*(SQRT((3*$B$10*F18/$B$7)^2+1)-1)</f>
        <v>0.26802273663221038</v>
      </c>
      <c r="H18" s="41">
        <f>(G18-G17)</f>
        <v>3.669554881721479E-2</v>
      </c>
      <c r="I18" s="36">
        <f>E18/H18</f>
        <v>1088.5891640583495</v>
      </c>
      <c r="M18" s="5">
        <v>40865</v>
      </c>
      <c r="N18" s="7">
        <v>0.45208333333333334</v>
      </c>
      <c r="O18" s="7">
        <v>0.55972222222222223</v>
      </c>
      <c r="P18" s="4">
        <v>155</v>
      </c>
      <c r="Q18" s="32">
        <v>8003</v>
      </c>
      <c r="R18" s="11">
        <v>40868</v>
      </c>
      <c r="S18" s="7">
        <v>0.36319444444444443</v>
      </c>
      <c r="T18" s="8">
        <v>0.39930555555555558</v>
      </c>
      <c r="U18" s="37">
        <v>52</v>
      </c>
      <c r="V18" s="37">
        <v>2812</v>
      </c>
    </row>
    <row r="19" spans="1:22" x14ac:dyDescent="0.3">
      <c r="A19" s="3">
        <f t="shared" ref="A19:A57" si="5">A18+5</f>
        <v>-90</v>
      </c>
      <c r="B19" s="36">
        <f t="shared" si="0"/>
        <v>226</v>
      </c>
      <c r="C19" s="36">
        <f t="shared" si="1"/>
        <v>11889</v>
      </c>
      <c r="D19" s="13">
        <f t="shared" si="2"/>
        <v>52.60619469026549</v>
      </c>
      <c r="E19" s="13">
        <f t="shared" si="3"/>
        <v>40.306194690265485</v>
      </c>
      <c r="F19" s="13">
        <f t="shared" si="4"/>
        <v>3.1000000000000005</v>
      </c>
      <c r="G19" s="13">
        <f t="shared" ref="G19:G36" si="6">$B$7*(SQRT((3*$B$10*F19/$B$7)^2+1)-1)</f>
        <v>0.30930475434438398</v>
      </c>
      <c r="H19" s="41">
        <f t="shared" ref="H19:H36" si="7">(G19-G18)</f>
        <v>4.1282017712173602E-2</v>
      </c>
      <c r="I19" s="36">
        <f t="shared" ref="I19:I36" si="8">E19/H19</f>
        <v>976.36203180009886</v>
      </c>
      <c r="M19" s="5">
        <v>40868</v>
      </c>
      <c r="N19" s="8">
        <v>0.39999999999999997</v>
      </c>
      <c r="O19" s="7">
        <v>0.55694444444444446</v>
      </c>
      <c r="P19" s="3">
        <v>226</v>
      </c>
      <c r="Q19" s="25">
        <v>11889</v>
      </c>
      <c r="R19" s="11"/>
      <c r="S19" s="7"/>
      <c r="T19" s="8"/>
      <c r="U19" s="36"/>
      <c r="V19" s="36"/>
    </row>
    <row r="20" spans="1:22" x14ac:dyDescent="0.3">
      <c r="A20" s="3">
        <f t="shared" si="5"/>
        <v>-85</v>
      </c>
      <c r="B20" s="36">
        <f t="shared" si="0"/>
        <v>182</v>
      </c>
      <c r="C20" s="36">
        <f t="shared" si="1"/>
        <v>10763</v>
      </c>
      <c r="D20" s="13">
        <f t="shared" si="2"/>
        <v>59.137362637362635</v>
      </c>
      <c r="E20" s="13">
        <f t="shared" si="3"/>
        <v>46.837362637362631</v>
      </c>
      <c r="F20" s="13">
        <f t="shared" si="4"/>
        <v>3.3830563533147413</v>
      </c>
      <c r="G20" s="13">
        <f t="shared" si="6"/>
        <v>0.35590877077319627</v>
      </c>
      <c r="H20" s="41">
        <f t="shared" si="7"/>
        <v>4.6604016428812289E-2</v>
      </c>
      <c r="I20" s="36">
        <f t="shared" si="8"/>
        <v>1005.0069978175975</v>
      </c>
      <c r="M20" s="5">
        <v>40868</v>
      </c>
      <c r="N20" s="7">
        <v>0.59236111111111112</v>
      </c>
      <c r="O20" s="7">
        <v>0.67708333333333337</v>
      </c>
      <c r="P20" s="3">
        <v>122</v>
      </c>
      <c r="Q20" s="25">
        <v>6837</v>
      </c>
      <c r="R20" s="11">
        <v>40869</v>
      </c>
      <c r="S20" s="7">
        <v>0.3354166666666667</v>
      </c>
      <c r="T20" s="8">
        <v>0.37708333333333338</v>
      </c>
      <c r="U20" s="36">
        <v>60</v>
      </c>
      <c r="V20" s="36">
        <v>3926</v>
      </c>
    </row>
    <row r="21" spans="1:22" x14ac:dyDescent="0.3">
      <c r="A21" s="3">
        <f t="shared" si="5"/>
        <v>-80</v>
      </c>
      <c r="B21" s="36">
        <f t="shared" si="0"/>
        <v>199</v>
      </c>
      <c r="C21" s="36">
        <f t="shared" si="1"/>
        <v>10912</v>
      </c>
      <c r="D21" s="13">
        <f t="shared" si="2"/>
        <v>54.834170854271356</v>
      </c>
      <c r="E21" s="13">
        <f t="shared" si="3"/>
        <v>42.534170854271352</v>
      </c>
      <c r="F21" s="13">
        <f t="shared" si="4"/>
        <v>3.6944361370420515</v>
      </c>
      <c r="G21" s="13">
        <f t="shared" si="6"/>
        <v>0.40876134530940222</v>
      </c>
      <c r="H21" s="41">
        <f t="shared" si="7"/>
        <v>5.2852574536205954E-2</v>
      </c>
      <c r="I21" s="36">
        <f t="shared" si="8"/>
        <v>804.77008409749055</v>
      </c>
      <c r="M21" s="5">
        <v>40869</v>
      </c>
      <c r="N21" s="7">
        <v>0.37777777777777777</v>
      </c>
      <c r="O21" s="7">
        <v>0.51597222222222217</v>
      </c>
      <c r="P21" s="3">
        <v>199</v>
      </c>
      <c r="Q21" s="25">
        <v>10912</v>
      </c>
      <c r="R21" s="11"/>
      <c r="S21" s="7"/>
      <c r="T21" s="8"/>
      <c r="U21" s="36"/>
      <c r="V21" s="36"/>
    </row>
    <row r="22" spans="1:22" x14ac:dyDescent="0.3">
      <c r="A22" s="3">
        <f t="shared" si="5"/>
        <v>-75</v>
      </c>
      <c r="B22" s="36">
        <f t="shared" si="0"/>
        <v>171</v>
      </c>
      <c r="C22" s="36">
        <f t="shared" si="1"/>
        <v>10685</v>
      </c>
      <c r="D22" s="13">
        <f t="shared" si="2"/>
        <v>62.485380116959064</v>
      </c>
      <c r="E22" s="13">
        <f t="shared" si="3"/>
        <v>50.185380116959067</v>
      </c>
      <c r="F22" s="13">
        <f t="shared" si="4"/>
        <v>4.0399986558077376</v>
      </c>
      <c r="G22" s="13">
        <f t="shared" si="6"/>
        <v>0.46904325058333007</v>
      </c>
      <c r="H22" s="41">
        <f t="shared" si="7"/>
        <v>6.0281905273927849E-2</v>
      </c>
      <c r="I22" s="36">
        <f t="shared" si="8"/>
        <v>832.51151218447694</v>
      </c>
      <c r="M22" s="5">
        <v>40869</v>
      </c>
      <c r="N22" s="7">
        <v>0.51666666666666672</v>
      </c>
      <c r="O22" s="7">
        <v>0.63541666666666663</v>
      </c>
      <c r="P22" s="3">
        <v>171</v>
      </c>
      <c r="Q22" s="25">
        <v>10685</v>
      </c>
      <c r="R22" s="10"/>
      <c r="S22" s="3"/>
      <c r="T22" s="8"/>
      <c r="U22" s="36"/>
      <c r="V22" s="36"/>
    </row>
    <row r="23" spans="1:22" x14ac:dyDescent="0.3">
      <c r="A23" s="3">
        <f t="shared" si="5"/>
        <v>-70</v>
      </c>
      <c r="B23" s="36">
        <f t="shared" si="0"/>
        <v>164</v>
      </c>
      <c r="C23" s="36">
        <f t="shared" si="1"/>
        <v>11255</v>
      </c>
      <c r="D23" s="13">
        <f t="shared" si="2"/>
        <v>68.628048780487802</v>
      </c>
      <c r="E23" s="13">
        <f t="shared" si="3"/>
        <v>56.328048780487805</v>
      </c>
      <c r="F23" s="13">
        <f t="shared" si="4"/>
        <v>4.4272588209005557</v>
      </c>
      <c r="G23" s="13">
        <f t="shared" si="6"/>
        <v>0.5382797505768625</v>
      </c>
      <c r="H23" s="41">
        <f t="shared" si="7"/>
        <v>6.923649999353243E-2</v>
      </c>
      <c r="I23" s="36">
        <f t="shared" si="8"/>
        <v>813.56002665862025</v>
      </c>
      <c r="M23" s="5">
        <v>40875</v>
      </c>
      <c r="N23" s="7">
        <v>0.3298611111111111</v>
      </c>
      <c r="O23" s="7">
        <v>0.44375000000000003</v>
      </c>
      <c r="P23" s="3">
        <v>164</v>
      </c>
      <c r="Q23" s="25">
        <v>11255</v>
      </c>
      <c r="R23" s="11"/>
      <c r="S23" s="7"/>
      <c r="T23" s="8"/>
      <c r="U23" s="36"/>
      <c r="V23" s="36"/>
    </row>
    <row r="24" spans="1:22" x14ac:dyDescent="0.3">
      <c r="A24" s="3">
        <f t="shared" si="5"/>
        <v>-65</v>
      </c>
      <c r="B24" s="36">
        <f t="shared" si="0"/>
        <v>361</v>
      </c>
      <c r="C24" s="36">
        <f t="shared" si="1"/>
        <v>26414</v>
      </c>
      <c r="D24" s="13">
        <f t="shared" si="2"/>
        <v>73.168975069252085</v>
      </c>
      <c r="E24" s="13">
        <f t="shared" si="3"/>
        <v>60.868975069252087</v>
      </c>
      <c r="F24" s="13">
        <f t="shared" si="4"/>
        <v>4.8660252890642202</v>
      </c>
      <c r="G24" s="13">
        <f t="shared" si="6"/>
        <v>0.6184725682258746</v>
      </c>
      <c r="H24" s="41">
        <f t="shared" si="7"/>
        <v>8.0192817649012094E-2</v>
      </c>
      <c r="I24" s="36">
        <f t="shared" si="8"/>
        <v>759.03275198114875</v>
      </c>
      <c r="M24" s="5">
        <v>40875</v>
      </c>
      <c r="N24" s="7">
        <v>0.44444444444444442</v>
      </c>
      <c r="O24" s="7">
        <v>0.69513888888888886</v>
      </c>
      <c r="P24" s="3">
        <v>361</v>
      </c>
      <c r="Q24" s="25">
        <v>26414</v>
      </c>
      <c r="R24" s="11"/>
      <c r="S24" s="7"/>
      <c r="T24" s="8"/>
      <c r="U24" s="36"/>
      <c r="V24" s="36"/>
    </row>
    <row r="25" spans="1:22" x14ac:dyDescent="0.3">
      <c r="A25" s="3">
        <f t="shared" si="5"/>
        <v>-60</v>
      </c>
      <c r="B25" s="36">
        <f t="shared" si="0"/>
        <v>170</v>
      </c>
      <c r="C25" s="36">
        <f t="shared" si="1"/>
        <v>12567</v>
      </c>
      <c r="D25" s="13">
        <f t="shared" si="2"/>
        <v>73.923529411764704</v>
      </c>
      <c r="E25" s="13">
        <f t="shared" si="3"/>
        <v>61.623529411764707</v>
      </c>
      <c r="F25" s="13">
        <f t="shared" si="4"/>
        <v>5.3693575034635197</v>
      </c>
      <c r="G25" s="13">
        <f t="shared" si="6"/>
        <v>0.71229786642501747</v>
      </c>
      <c r="H25" s="41">
        <f t="shared" si="7"/>
        <v>9.382529819914287E-2</v>
      </c>
      <c r="I25" s="36">
        <f t="shared" si="8"/>
        <v>656.79012584611917</v>
      </c>
      <c r="M25" s="5">
        <v>40876</v>
      </c>
      <c r="N25" s="7">
        <v>0.3430555555555555</v>
      </c>
      <c r="O25" s="7">
        <v>0.46111111111111108</v>
      </c>
      <c r="P25" s="3">
        <v>170</v>
      </c>
      <c r="Q25" s="25">
        <v>12567</v>
      </c>
      <c r="R25" s="11"/>
      <c r="S25" s="7"/>
      <c r="T25" s="8"/>
      <c r="U25" s="36"/>
      <c r="V25" s="36"/>
    </row>
    <row r="26" spans="1:22" x14ac:dyDescent="0.3">
      <c r="A26" s="3">
        <f t="shared" si="5"/>
        <v>-55</v>
      </c>
      <c r="B26" s="36">
        <f t="shared" si="0"/>
        <v>241</v>
      </c>
      <c r="C26" s="36">
        <f t="shared" si="1"/>
        <v>18556</v>
      </c>
      <c r="D26" s="13">
        <f t="shared" si="2"/>
        <v>76.995850622406635</v>
      </c>
      <c r="E26" s="13">
        <f t="shared" si="3"/>
        <v>64.695850622406638</v>
      </c>
      <c r="F26" s="13">
        <f t="shared" si="4"/>
        <v>5.9550445936106149</v>
      </c>
      <c r="G26" s="13">
        <f t="shared" si="6"/>
        <v>0.82341225520392236</v>
      </c>
      <c r="H26" s="41">
        <f t="shared" si="7"/>
        <v>0.11111438877890489</v>
      </c>
      <c r="I26" s="36">
        <f t="shared" si="8"/>
        <v>582.24547993634076</v>
      </c>
      <c r="M26" s="5">
        <v>40876</v>
      </c>
      <c r="N26" s="7">
        <v>0.46180555555555558</v>
      </c>
      <c r="O26" s="7">
        <v>0.62916666666666665</v>
      </c>
      <c r="P26" s="3">
        <v>241</v>
      </c>
      <c r="Q26" s="25">
        <v>18556</v>
      </c>
      <c r="R26" s="11"/>
      <c r="S26" s="7"/>
      <c r="T26" s="8"/>
      <c r="U26" s="36"/>
      <c r="V26" s="36"/>
    </row>
    <row r="27" spans="1:22" x14ac:dyDescent="0.3">
      <c r="A27" s="3">
        <f t="shared" si="5"/>
        <v>-50</v>
      </c>
      <c r="B27" s="36">
        <f t="shared" si="0"/>
        <v>289</v>
      </c>
      <c r="C27" s="36">
        <f t="shared" si="1"/>
        <v>21671</v>
      </c>
      <c r="D27" s="13">
        <f t="shared" si="2"/>
        <v>74.986159169550177</v>
      </c>
      <c r="E27" s="13">
        <f t="shared" si="3"/>
        <v>62.68615916955018</v>
      </c>
      <c r="F27" s="13">
        <f t="shared" si="4"/>
        <v>6.6479714535796317</v>
      </c>
      <c r="G27" s="13">
        <f t="shared" si="6"/>
        <v>0.9569424467790375</v>
      </c>
      <c r="H27" s="41">
        <f t="shared" si="7"/>
        <v>0.13353019157511514</v>
      </c>
      <c r="I27" s="36">
        <f t="shared" si="8"/>
        <v>469.45307596812023</v>
      </c>
      <c r="M27" s="5">
        <v>40876</v>
      </c>
      <c r="N27" s="7">
        <v>0.62986111111111109</v>
      </c>
      <c r="O27" s="7">
        <v>0.67013888888888884</v>
      </c>
      <c r="P27" s="3">
        <v>58</v>
      </c>
      <c r="Q27" s="25">
        <v>4404</v>
      </c>
      <c r="R27" s="11">
        <v>40877</v>
      </c>
      <c r="S27" s="7">
        <v>0.31388888888888888</v>
      </c>
      <c r="T27" s="8">
        <v>0.47430555555555554</v>
      </c>
      <c r="U27" s="36">
        <v>231</v>
      </c>
      <c r="V27" s="36">
        <v>17267</v>
      </c>
    </row>
    <row r="28" spans="1:22" x14ac:dyDescent="0.3">
      <c r="A28" s="3">
        <f t="shared" si="5"/>
        <v>-45</v>
      </c>
      <c r="B28" s="36">
        <f t="shared" si="0"/>
        <v>191</v>
      </c>
      <c r="C28" s="36">
        <f t="shared" si="1"/>
        <v>13661</v>
      </c>
      <c r="D28" s="13">
        <f t="shared" si="2"/>
        <v>71.52356020942409</v>
      </c>
      <c r="E28" s="13">
        <f t="shared" si="3"/>
        <v>59.223560209424093</v>
      </c>
      <c r="F28" s="13">
        <f t="shared" si="4"/>
        <v>7.4840620433565954</v>
      </c>
      <c r="G28" s="13">
        <f t="shared" si="6"/>
        <v>1.1203013982320613</v>
      </c>
      <c r="H28" s="41">
        <f t="shared" si="7"/>
        <v>0.16335895145302382</v>
      </c>
      <c r="I28" s="36">
        <f t="shared" si="8"/>
        <v>362.53636352737408</v>
      </c>
      <c r="M28" s="1">
        <v>40877</v>
      </c>
      <c r="N28" s="7">
        <v>0.47500000000000003</v>
      </c>
      <c r="O28" s="7">
        <v>0.60763888888888895</v>
      </c>
      <c r="P28" s="3">
        <v>191</v>
      </c>
      <c r="Q28" s="26">
        <v>13661</v>
      </c>
      <c r="R28" s="10"/>
      <c r="S28" s="3"/>
      <c r="T28" s="8"/>
      <c r="U28" s="36"/>
      <c r="V28" s="36"/>
    </row>
    <row r="29" spans="1:22" x14ac:dyDescent="0.3">
      <c r="A29" s="3">
        <f t="shared" si="5"/>
        <v>-40</v>
      </c>
      <c r="B29" s="36">
        <f t="shared" si="0"/>
        <v>223</v>
      </c>
      <c r="C29" s="36">
        <f t="shared" si="1"/>
        <v>14037</v>
      </c>
      <c r="D29" s="13">
        <f t="shared" si="2"/>
        <v>62.946188340807176</v>
      </c>
      <c r="E29" s="13">
        <f t="shared" si="3"/>
        <v>50.646188340807171</v>
      </c>
      <c r="F29" s="13">
        <f t="shared" si="4"/>
        <v>8.5171800003093292</v>
      </c>
      <c r="G29" s="13">
        <f t="shared" si="6"/>
        <v>1.3246166201445688</v>
      </c>
      <c r="H29" s="41">
        <f t="shared" si="7"/>
        <v>0.20431522191250751</v>
      </c>
      <c r="I29" s="36">
        <f t="shared" si="8"/>
        <v>247.88259957691767</v>
      </c>
      <c r="M29" s="5">
        <v>40877</v>
      </c>
      <c r="N29" s="7">
        <v>0.60833333333333328</v>
      </c>
      <c r="O29" s="7">
        <v>0.7631944444444444</v>
      </c>
      <c r="P29" s="3">
        <v>223</v>
      </c>
      <c r="Q29" s="25">
        <v>14037</v>
      </c>
      <c r="R29" s="11"/>
      <c r="S29" s="7"/>
      <c r="T29" s="8"/>
      <c r="U29" s="36"/>
      <c r="V29" s="36"/>
    </row>
    <row r="30" spans="1:22" x14ac:dyDescent="0.3">
      <c r="A30" s="3">
        <f t="shared" si="5"/>
        <v>-35</v>
      </c>
      <c r="B30" s="36">
        <f t="shared" si="0"/>
        <v>514</v>
      </c>
      <c r="C30" s="36">
        <f t="shared" si="1"/>
        <v>24819</v>
      </c>
      <c r="D30" s="13">
        <f t="shared" si="2"/>
        <v>48.28599221789883</v>
      </c>
      <c r="E30" s="13">
        <f t="shared" si="3"/>
        <v>35.985992217898826</v>
      </c>
      <c r="F30" s="13">
        <f t="shared" si="4"/>
        <v>9.8319438873259593</v>
      </c>
      <c r="G30" s="13">
        <f t="shared" si="6"/>
        <v>1.5873828179673266</v>
      </c>
      <c r="H30" s="41">
        <f t="shared" si="7"/>
        <v>0.26276619782275779</v>
      </c>
      <c r="I30" s="36">
        <f t="shared" si="8"/>
        <v>136.95061433347777</v>
      </c>
      <c r="M30" s="5">
        <v>40878</v>
      </c>
      <c r="N30" s="7">
        <v>0.32291666666666669</v>
      </c>
      <c r="O30" s="7">
        <v>0.50902777777777775</v>
      </c>
      <c r="P30" s="3">
        <v>268</v>
      </c>
      <c r="Q30" s="25">
        <v>12852</v>
      </c>
      <c r="R30" s="34">
        <v>40878</v>
      </c>
      <c r="S30" s="35">
        <v>0.50972222222222219</v>
      </c>
      <c r="T30" s="7">
        <v>0.68055555555555547</v>
      </c>
      <c r="U30" s="36">
        <v>246</v>
      </c>
      <c r="V30" s="36">
        <v>11967</v>
      </c>
    </row>
    <row r="31" spans="1:22" x14ac:dyDescent="0.3">
      <c r="A31" s="3">
        <f t="shared" si="5"/>
        <v>-30</v>
      </c>
      <c r="B31" s="36">
        <f t="shared" si="0"/>
        <v>309</v>
      </c>
      <c r="C31" s="36">
        <f t="shared" si="1"/>
        <v>11925</v>
      </c>
      <c r="D31" s="13">
        <f t="shared" si="2"/>
        <v>38.592233009708735</v>
      </c>
      <c r="E31" s="13">
        <f t="shared" si="3"/>
        <v>26.292233009708735</v>
      </c>
      <c r="F31" s="13">
        <f t="shared" si="4"/>
        <v>11.56935750346352</v>
      </c>
      <c r="G31" s="13">
        <f t="shared" si="6"/>
        <v>1.9377672543255851</v>
      </c>
      <c r="H31" s="41">
        <f t="shared" si="7"/>
        <v>0.35038443635825844</v>
      </c>
      <c r="I31" s="36">
        <f t="shared" si="8"/>
        <v>75.038244515020779</v>
      </c>
      <c r="M31" s="5">
        <v>40878</v>
      </c>
      <c r="N31" s="7">
        <v>0.68125000000000002</v>
      </c>
      <c r="O31" s="7">
        <v>0.8208333333333333</v>
      </c>
      <c r="P31" s="3">
        <v>201</v>
      </c>
      <c r="Q31" s="25">
        <v>7752</v>
      </c>
      <c r="R31" s="34">
        <v>40879</v>
      </c>
      <c r="S31" s="35">
        <v>0.30624999999999997</v>
      </c>
      <c r="T31" s="7">
        <v>0.38125000000000003</v>
      </c>
      <c r="U31" s="36">
        <v>108</v>
      </c>
      <c r="V31" s="36">
        <v>4173</v>
      </c>
    </row>
    <row r="32" spans="1:22" x14ac:dyDescent="0.3">
      <c r="A32" s="3">
        <f t="shared" si="5"/>
        <v>-25</v>
      </c>
      <c r="B32" s="36">
        <f t="shared" si="0"/>
        <v>439</v>
      </c>
      <c r="C32" s="36">
        <f t="shared" si="1"/>
        <v>12299</v>
      </c>
      <c r="D32" s="13">
        <f t="shared" si="2"/>
        <v>28.015945330296127</v>
      </c>
      <c r="E32" s="13">
        <f t="shared" si="3"/>
        <v>15.715945330296126</v>
      </c>
      <c r="F32" s="13">
        <f t="shared" si="4"/>
        <v>13.983196361352379</v>
      </c>
      <c r="G32" s="13">
        <f t="shared" si="6"/>
        <v>2.4282816407744003</v>
      </c>
      <c r="H32" s="41">
        <f t="shared" si="7"/>
        <v>0.49051438644881529</v>
      </c>
      <c r="I32" s="36">
        <f t="shared" si="8"/>
        <v>32.039723532015245</v>
      </c>
      <c r="M32" s="5">
        <v>40879</v>
      </c>
      <c r="N32" s="7">
        <v>0.3840277777777778</v>
      </c>
      <c r="O32" s="7">
        <v>0.68888888888888899</v>
      </c>
      <c r="P32" s="3">
        <v>439</v>
      </c>
      <c r="Q32" s="25">
        <v>12299</v>
      </c>
      <c r="R32" s="24"/>
      <c r="S32" s="23"/>
      <c r="T32" s="7"/>
      <c r="U32" s="36"/>
      <c r="V32" s="36"/>
    </row>
    <row r="33" spans="1:22" x14ac:dyDescent="0.3">
      <c r="A33" s="3">
        <f t="shared" si="5"/>
        <v>-20</v>
      </c>
      <c r="B33" s="36">
        <f t="shared" si="0"/>
        <v>483</v>
      </c>
      <c r="C33" s="36">
        <f t="shared" si="1"/>
        <v>10835</v>
      </c>
      <c r="D33" s="13">
        <f t="shared" si="2"/>
        <v>22.432712215320912</v>
      </c>
      <c r="E33" s="13">
        <f t="shared" si="3"/>
        <v>10.132712215320911</v>
      </c>
      <c r="F33" s="13">
        <f t="shared" si="4"/>
        <v>17.5809736408149</v>
      </c>
      <c r="G33" s="13">
        <f t="shared" si="6"/>
        <v>3.1639619838959154</v>
      </c>
      <c r="H33" s="41">
        <f t="shared" si="7"/>
        <v>0.73568034312151509</v>
      </c>
      <c r="I33" s="36">
        <f t="shared" si="8"/>
        <v>13.773253981923034</v>
      </c>
      <c r="M33" s="5">
        <v>40882</v>
      </c>
      <c r="N33" s="7">
        <v>0.33958333333333335</v>
      </c>
      <c r="O33" s="7">
        <v>0.67499999999999993</v>
      </c>
      <c r="P33" s="3">
        <v>483</v>
      </c>
      <c r="Q33" s="25">
        <v>10835</v>
      </c>
      <c r="R33" s="24"/>
      <c r="S33" s="23"/>
      <c r="T33" s="14"/>
      <c r="U33" s="36"/>
      <c r="V33" s="36"/>
    </row>
    <row r="34" spans="1:22" x14ac:dyDescent="0.3">
      <c r="A34" s="3">
        <f t="shared" si="5"/>
        <v>-15</v>
      </c>
      <c r="B34" s="36">
        <f t="shared" si="0"/>
        <v>513</v>
      </c>
      <c r="C34" s="36">
        <f t="shared" si="1"/>
        <v>8498</v>
      </c>
      <c r="D34" s="13">
        <f t="shared" si="2"/>
        <v>16.565302144249511</v>
      </c>
      <c r="E34" s="13">
        <f t="shared" si="3"/>
        <v>4.2653021442495103</v>
      </c>
      <c r="F34" s="13">
        <f t="shared" si="4"/>
        <v>23.54683774944797</v>
      </c>
      <c r="G34" s="13">
        <f t="shared" si="6"/>
        <v>4.3899082765526005</v>
      </c>
      <c r="H34" s="41">
        <f t="shared" si="7"/>
        <v>1.2259462926566851</v>
      </c>
      <c r="I34" s="36">
        <f t="shared" si="8"/>
        <v>3.4791916822117823</v>
      </c>
      <c r="M34" s="5">
        <v>40883</v>
      </c>
      <c r="N34" s="7">
        <v>0.3347222222222222</v>
      </c>
      <c r="O34" s="7">
        <v>0.69097222222222221</v>
      </c>
      <c r="P34" s="3">
        <v>513</v>
      </c>
      <c r="Q34" s="26">
        <v>8498</v>
      </c>
      <c r="R34" s="24"/>
      <c r="S34" s="22"/>
      <c r="T34" s="3"/>
      <c r="U34" s="36"/>
      <c r="V34" s="36"/>
    </row>
    <row r="35" spans="1:22" x14ac:dyDescent="0.3">
      <c r="A35" s="3">
        <f t="shared" si="5"/>
        <v>-10</v>
      </c>
      <c r="B35" s="36">
        <f t="shared" si="0"/>
        <v>1136</v>
      </c>
      <c r="C35" s="36">
        <f t="shared" si="1"/>
        <v>16797</v>
      </c>
      <c r="D35" s="13">
        <f t="shared" si="2"/>
        <v>14.786091549295774</v>
      </c>
      <c r="E35" s="13">
        <f t="shared" si="3"/>
        <v>2.4860915492957734</v>
      </c>
      <c r="F35" s="13">
        <f t="shared" si="4"/>
        <v>35.433162138560164</v>
      </c>
      <c r="G35" s="13">
        <f t="shared" si="6"/>
        <v>6.8414434881923754</v>
      </c>
      <c r="H35" s="41">
        <f t="shared" si="7"/>
        <v>2.4515352116397748</v>
      </c>
      <c r="I35" s="36">
        <f t="shared" si="8"/>
        <v>1.014095794950008</v>
      </c>
      <c r="M35" s="5">
        <v>40883</v>
      </c>
      <c r="N35" s="7">
        <v>0.69166666666666676</v>
      </c>
      <c r="O35" s="7">
        <v>0.48055555555555557</v>
      </c>
      <c r="P35" s="3">
        <v>1136</v>
      </c>
      <c r="Q35" s="26">
        <v>16797</v>
      </c>
      <c r="R35" s="24"/>
      <c r="S35" s="23"/>
      <c r="T35" s="7"/>
      <c r="U35" s="36"/>
      <c r="V35" s="36"/>
    </row>
    <row r="36" spans="1:22" x14ac:dyDescent="0.3">
      <c r="A36" s="3">
        <f t="shared" si="5"/>
        <v>-5</v>
      </c>
      <c r="B36" s="36">
        <f t="shared" si="0"/>
        <v>383</v>
      </c>
      <c r="C36" s="36">
        <f t="shared" si="1"/>
        <v>5169</v>
      </c>
      <c r="D36" s="13">
        <f t="shared" si="2"/>
        <v>13.496083550913838</v>
      </c>
      <c r="E36" s="13">
        <f t="shared" si="3"/>
        <v>1.196083550913837</v>
      </c>
      <c r="F36" s="13">
        <f t="shared" si="4"/>
        <v>71.001673200136722</v>
      </c>
      <c r="G36" s="13">
        <f t="shared" si="6"/>
        <v>14.195226939743502</v>
      </c>
      <c r="H36" s="41">
        <f t="shared" si="7"/>
        <v>7.3537834515511271</v>
      </c>
      <c r="I36" s="36">
        <f t="shared" si="8"/>
        <v>0.16264873160788385</v>
      </c>
      <c r="M36" s="5">
        <v>40884</v>
      </c>
      <c r="N36" s="7">
        <v>0.48125000000000001</v>
      </c>
      <c r="O36" s="7">
        <v>0.74722222222222223</v>
      </c>
      <c r="P36" s="3">
        <v>383</v>
      </c>
      <c r="Q36" s="26">
        <v>5169</v>
      </c>
      <c r="R36" s="24"/>
      <c r="S36" s="22"/>
      <c r="T36" s="3"/>
      <c r="U36" s="36"/>
      <c r="V36" s="36"/>
    </row>
    <row r="37" spans="1:22" x14ac:dyDescent="0.3">
      <c r="A37" s="3">
        <f t="shared" si="5"/>
        <v>0</v>
      </c>
      <c r="B37" s="36">
        <f t="shared" si="0"/>
        <v>849</v>
      </c>
      <c r="C37" s="36">
        <f t="shared" si="1"/>
        <v>11417</v>
      </c>
      <c r="D37" s="13">
        <f t="shared" si="2"/>
        <v>13.447585394581861</v>
      </c>
      <c r="E37" s="13">
        <f t="shared" si="3"/>
        <v>1.1475853945818599</v>
      </c>
      <c r="F37" s="13"/>
      <c r="G37" s="13"/>
      <c r="M37" s="5">
        <v>40884</v>
      </c>
      <c r="N37" s="7">
        <v>0.74791666666666667</v>
      </c>
      <c r="O37" s="7">
        <v>0.33749999999999997</v>
      </c>
      <c r="P37" s="3">
        <v>849</v>
      </c>
      <c r="Q37" s="26">
        <v>11417</v>
      </c>
      <c r="R37" s="24"/>
      <c r="S37" s="23"/>
      <c r="T37" s="7"/>
      <c r="U37" s="36"/>
      <c r="V37" s="36"/>
    </row>
    <row r="38" spans="1:22" x14ac:dyDescent="0.3">
      <c r="A38" s="3">
        <f t="shared" si="5"/>
        <v>5</v>
      </c>
      <c r="B38" s="36">
        <f t="shared" si="0"/>
        <v>0</v>
      </c>
      <c r="C38" s="36">
        <f t="shared" si="1"/>
        <v>0</v>
      </c>
      <c r="D38" s="13"/>
      <c r="E38" s="13"/>
      <c r="G38" s="3"/>
      <c r="M38" s="5"/>
      <c r="N38" s="7"/>
      <c r="O38" s="7"/>
      <c r="P38" s="3"/>
      <c r="Q38" s="26"/>
      <c r="R38" s="24"/>
      <c r="S38" s="22"/>
      <c r="T38" s="3"/>
      <c r="U38" s="36"/>
      <c r="V38" s="36"/>
    </row>
    <row r="39" spans="1:22" x14ac:dyDescent="0.3">
      <c r="A39" s="3">
        <f t="shared" si="5"/>
        <v>10</v>
      </c>
      <c r="B39" s="36">
        <f t="shared" si="0"/>
        <v>548</v>
      </c>
      <c r="C39" s="36">
        <f t="shared" si="1"/>
        <v>6825</v>
      </c>
      <c r="D39" s="13">
        <f t="shared" si="2"/>
        <v>12.454379562043796</v>
      </c>
      <c r="E39" s="13"/>
      <c r="F39" s="13"/>
      <c r="G39" s="3"/>
      <c r="M39" s="5">
        <v>40885</v>
      </c>
      <c r="N39" s="7">
        <v>0.33819444444444446</v>
      </c>
      <c r="O39" s="7">
        <v>0.71875</v>
      </c>
      <c r="P39" s="3">
        <v>548</v>
      </c>
      <c r="Q39" s="26">
        <v>6825</v>
      </c>
      <c r="R39" s="24"/>
      <c r="S39" s="23"/>
      <c r="T39" s="7"/>
      <c r="U39" s="36"/>
      <c r="V39" s="36"/>
    </row>
    <row r="40" spans="1:22" x14ac:dyDescent="0.3">
      <c r="A40" s="3">
        <f t="shared" si="5"/>
        <v>15</v>
      </c>
      <c r="B40" s="36">
        <f t="shared" si="0"/>
        <v>0</v>
      </c>
      <c r="C40" s="36">
        <f t="shared" si="1"/>
        <v>0</v>
      </c>
      <c r="D40" s="13"/>
      <c r="E40" s="13"/>
      <c r="F40" s="13"/>
      <c r="G40" s="3"/>
      <c r="M40" s="5"/>
      <c r="N40" s="7"/>
      <c r="O40" s="7"/>
      <c r="P40" s="3"/>
      <c r="Q40" s="26"/>
      <c r="R40" s="24"/>
      <c r="S40" s="22"/>
      <c r="T40" s="3"/>
      <c r="U40" s="36"/>
      <c r="V40" s="36"/>
    </row>
    <row r="41" spans="1:22" x14ac:dyDescent="0.3">
      <c r="A41" s="3">
        <f t="shared" si="5"/>
        <v>20</v>
      </c>
      <c r="B41" s="36">
        <f t="shared" si="0"/>
        <v>890</v>
      </c>
      <c r="C41" s="36">
        <f t="shared" si="1"/>
        <v>10987</v>
      </c>
      <c r="D41" s="13">
        <f t="shared" si="2"/>
        <v>12.344943820224719</v>
      </c>
      <c r="E41" s="13"/>
      <c r="F41" s="13"/>
      <c r="G41" s="3"/>
      <c r="M41" s="5">
        <v>40885</v>
      </c>
      <c r="N41" s="7">
        <v>0.72013888888888899</v>
      </c>
      <c r="O41" s="7">
        <v>0.33819444444444446</v>
      </c>
      <c r="P41" s="3">
        <v>890</v>
      </c>
      <c r="Q41" s="26">
        <v>10987</v>
      </c>
      <c r="R41" s="24"/>
      <c r="S41" s="22"/>
      <c r="T41" s="3"/>
      <c r="U41" s="36"/>
      <c r="V41" s="36"/>
    </row>
    <row r="42" spans="1:22" x14ac:dyDescent="0.3">
      <c r="A42" s="3">
        <f t="shared" si="5"/>
        <v>25</v>
      </c>
      <c r="B42" s="36">
        <f t="shared" si="0"/>
        <v>0</v>
      </c>
      <c r="C42" s="36">
        <f t="shared" si="1"/>
        <v>0</v>
      </c>
      <c r="D42" s="13"/>
      <c r="E42" s="13"/>
      <c r="F42" s="13"/>
      <c r="G42" s="3"/>
      <c r="M42" s="5"/>
      <c r="N42" s="7"/>
      <c r="O42" s="7"/>
      <c r="P42" s="3"/>
      <c r="Q42" s="26"/>
      <c r="R42" s="24"/>
      <c r="S42" s="22"/>
      <c r="T42" s="3"/>
      <c r="U42" s="36"/>
      <c r="V42" s="36"/>
    </row>
    <row r="43" spans="1:22" x14ac:dyDescent="0.3">
      <c r="A43" s="3">
        <f t="shared" si="5"/>
        <v>30</v>
      </c>
      <c r="B43" s="36">
        <f t="shared" si="0"/>
        <v>653</v>
      </c>
      <c r="C43" s="36">
        <f t="shared" si="1"/>
        <v>8074</v>
      </c>
      <c r="D43" s="13">
        <f t="shared" si="2"/>
        <v>12.36447166921899</v>
      </c>
      <c r="E43" s="13"/>
      <c r="F43" s="13"/>
      <c r="G43" s="3"/>
      <c r="M43" s="5">
        <v>40886</v>
      </c>
      <c r="N43" s="7">
        <v>0.33888888888888885</v>
      </c>
      <c r="O43" s="7">
        <v>0.79236111111111107</v>
      </c>
      <c r="P43" s="3">
        <v>653</v>
      </c>
      <c r="Q43" s="26">
        <v>8074</v>
      </c>
      <c r="R43" s="24"/>
      <c r="S43" s="22"/>
      <c r="T43" s="3"/>
      <c r="U43" s="36"/>
      <c r="V43" s="36"/>
    </row>
    <row r="44" spans="1:22" x14ac:dyDescent="0.3">
      <c r="A44" s="3">
        <f t="shared" si="5"/>
        <v>35</v>
      </c>
      <c r="B44" s="36">
        <f t="shared" si="0"/>
        <v>0</v>
      </c>
      <c r="C44" s="36">
        <f t="shared" si="1"/>
        <v>0</v>
      </c>
      <c r="D44" s="13"/>
      <c r="E44" s="13"/>
      <c r="F44" s="13"/>
      <c r="G44" s="3"/>
      <c r="M44" s="5"/>
      <c r="N44" s="7"/>
      <c r="O44" s="7"/>
      <c r="P44" s="3"/>
      <c r="Q44" s="26"/>
      <c r="R44" s="34"/>
      <c r="S44" s="35"/>
      <c r="T44" s="7"/>
      <c r="U44" s="36"/>
      <c r="V44" s="36"/>
    </row>
    <row r="45" spans="1:22" x14ac:dyDescent="0.3">
      <c r="A45" s="3">
        <f t="shared" si="5"/>
        <v>40</v>
      </c>
      <c r="B45" s="36">
        <f t="shared" si="0"/>
        <v>435</v>
      </c>
      <c r="C45" s="36">
        <f t="shared" si="1"/>
        <v>5341</v>
      </c>
      <c r="D45" s="13">
        <f t="shared" si="2"/>
        <v>12.27816091954023</v>
      </c>
      <c r="E45" s="13"/>
      <c r="F45" s="13"/>
      <c r="G45" s="3"/>
      <c r="M45" s="5">
        <v>40889</v>
      </c>
      <c r="N45" s="7">
        <v>0.32916666666666666</v>
      </c>
      <c r="O45" s="7">
        <v>0.63124999999999998</v>
      </c>
      <c r="P45" s="3">
        <v>435</v>
      </c>
      <c r="Q45" s="26">
        <v>5341</v>
      </c>
      <c r="R45" s="24"/>
      <c r="S45" s="22"/>
      <c r="T45" s="3"/>
      <c r="U45" s="36"/>
      <c r="V45" s="36"/>
    </row>
    <row r="46" spans="1:22" x14ac:dyDescent="0.3">
      <c r="A46" s="3">
        <f t="shared" si="5"/>
        <v>45</v>
      </c>
      <c r="B46" s="36">
        <f t="shared" si="0"/>
        <v>0</v>
      </c>
      <c r="C46" s="36">
        <f t="shared" si="1"/>
        <v>0</v>
      </c>
      <c r="D46" s="13"/>
      <c r="E46" s="13"/>
      <c r="F46" s="13"/>
      <c r="G46" s="3"/>
      <c r="M46" s="5"/>
      <c r="N46" s="7"/>
      <c r="O46" s="7"/>
      <c r="P46" s="3"/>
      <c r="Q46" s="26"/>
      <c r="R46" s="24"/>
      <c r="S46" s="22"/>
      <c r="T46" s="3"/>
      <c r="U46" s="36"/>
      <c r="V46" s="36"/>
    </row>
    <row r="47" spans="1:22" x14ac:dyDescent="0.3">
      <c r="A47" s="3">
        <f t="shared" si="5"/>
        <v>50</v>
      </c>
      <c r="B47" s="36">
        <f t="shared" si="0"/>
        <v>1113</v>
      </c>
      <c r="C47" s="36">
        <f t="shared" si="1"/>
        <v>13948</v>
      </c>
      <c r="D47" s="13">
        <f t="shared" si="2"/>
        <v>12.531895777178796</v>
      </c>
      <c r="E47" s="13"/>
      <c r="F47" s="13"/>
      <c r="G47" s="3"/>
      <c r="M47" s="5">
        <v>40889</v>
      </c>
      <c r="N47" s="7">
        <v>0.63194444444444442</v>
      </c>
      <c r="O47" s="7">
        <v>0.40486111111111112</v>
      </c>
      <c r="P47" s="3">
        <v>1113</v>
      </c>
      <c r="Q47" s="26">
        <v>13948</v>
      </c>
      <c r="R47" s="24"/>
      <c r="S47" s="22"/>
      <c r="T47" s="3"/>
      <c r="U47" s="36"/>
      <c r="V47" s="36"/>
    </row>
    <row r="48" spans="1:22" x14ac:dyDescent="0.3">
      <c r="A48" s="3">
        <f t="shared" si="5"/>
        <v>55</v>
      </c>
      <c r="B48" s="36">
        <f t="shared" si="0"/>
        <v>0</v>
      </c>
      <c r="C48" s="36">
        <f t="shared" si="1"/>
        <v>0</v>
      </c>
      <c r="D48" s="13"/>
      <c r="E48" s="13"/>
      <c r="F48" s="13"/>
      <c r="G48" s="3"/>
      <c r="M48" s="5"/>
      <c r="N48" s="7"/>
      <c r="O48" s="7"/>
      <c r="P48" s="3"/>
      <c r="Q48" s="26"/>
      <c r="R48" s="24"/>
      <c r="S48" s="22"/>
      <c r="T48" s="3"/>
      <c r="U48" s="36"/>
      <c r="V48" s="36"/>
    </row>
    <row r="49" spans="1:22" x14ac:dyDescent="0.3">
      <c r="A49" s="3">
        <f t="shared" si="5"/>
        <v>60</v>
      </c>
      <c r="B49" s="36">
        <f t="shared" si="0"/>
        <v>490</v>
      </c>
      <c r="C49" s="36">
        <f t="shared" si="1"/>
        <v>6074</v>
      </c>
      <c r="D49" s="13">
        <f t="shared" si="2"/>
        <v>12.395918367346939</v>
      </c>
      <c r="E49" s="13"/>
      <c r="F49" s="13"/>
      <c r="G49" s="3"/>
      <c r="M49" s="5">
        <v>40890</v>
      </c>
      <c r="N49" s="7">
        <v>0.4055555555555555</v>
      </c>
      <c r="O49" s="8">
        <v>0.74583333333333324</v>
      </c>
      <c r="P49" s="3">
        <v>490</v>
      </c>
      <c r="Q49" s="26">
        <v>6074</v>
      </c>
      <c r="R49" s="24"/>
      <c r="S49" s="22"/>
      <c r="T49" s="3"/>
      <c r="U49" s="36"/>
      <c r="V49" s="36"/>
    </row>
    <row r="50" spans="1:22" x14ac:dyDescent="0.3">
      <c r="A50" s="3">
        <f t="shared" si="5"/>
        <v>65</v>
      </c>
      <c r="B50" s="36">
        <f t="shared" si="0"/>
        <v>0</v>
      </c>
      <c r="C50" s="36">
        <f t="shared" si="1"/>
        <v>0</v>
      </c>
      <c r="D50" s="13"/>
      <c r="E50" s="13"/>
      <c r="F50" s="13"/>
      <c r="G50" s="3"/>
      <c r="M50" s="5"/>
      <c r="N50" s="7"/>
      <c r="O50" s="7"/>
      <c r="P50" s="3"/>
      <c r="Q50" s="26"/>
      <c r="R50" s="34"/>
      <c r="S50" s="35"/>
      <c r="T50" s="7"/>
      <c r="U50" s="36"/>
      <c r="V50" s="36"/>
    </row>
    <row r="51" spans="1:22" x14ac:dyDescent="0.3">
      <c r="A51" s="3">
        <f t="shared" si="5"/>
        <v>70</v>
      </c>
      <c r="B51" s="36">
        <f t="shared" si="0"/>
        <v>862</v>
      </c>
      <c r="C51" s="36">
        <f t="shared" si="1"/>
        <v>10754</v>
      </c>
      <c r="D51" s="13">
        <f t="shared" si="2"/>
        <v>12.475638051044083</v>
      </c>
      <c r="E51" s="13"/>
      <c r="F51" s="13"/>
      <c r="G51" s="3"/>
      <c r="M51" s="5">
        <v>40890</v>
      </c>
      <c r="N51" s="7">
        <v>0.74652777777777779</v>
      </c>
      <c r="O51" s="7">
        <v>0.34513888888888888</v>
      </c>
      <c r="P51" s="3">
        <v>862</v>
      </c>
      <c r="Q51" s="26">
        <v>10754</v>
      </c>
      <c r="R51" s="24"/>
      <c r="S51" s="22"/>
      <c r="T51" s="3"/>
      <c r="U51" s="36"/>
      <c r="V51" s="36"/>
    </row>
    <row r="52" spans="1:22" x14ac:dyDescent="0.3">
      <c r="A52" s="3">
        <f t="shared" si="5"/>
        <v>75</v>
      </c>
      <c r="B52" s="36">
        <f t="shared" si="0"/>
        <v>0</v>
      </c>
      <c r="C52" s="36">
        <f t="shared" si="1"/>
        <v>0</v>
      </c>
      <c r="D52" s="13"/>
      <c r="E52" s="13"/>
      <c r="F52" s="13"/>
      <c r="G52" s="3"/>
      <c r="M52" s="5"/>
      <c r="N52" s="7"/>
      <c r="O52" s="7"/>
      <c r="P52" s="3"/>
      <c r="Q52" s="26"/>
      <c r="R52" s="24"/>
      <c r="S52" s="22"/>
      <c r="T52" s="3"/>
      <c r="U52" s="36"/>
      <c r="V52" s="36"/>
    </row>
    <row r="53" spans="1:22" x14ac:dyDescent="0.3">
      <c r="A53" s="3">
        <f t="shared" si="5"/>
        <v>80</v>
      </c>
      <c r="B53" s="36">
        <f t="shared" si="0"/>
        <v>490</v>
      </c>
      <c r="C53" s="36">
        <f t="shared" si="1"/>
        <v>6102</v>
      </c>
      <c r="D53" s="13">
        <f t="shared" si="2"/>
        <v>12.453061224489796</v>
      </c>
      <c r="E53" s="13"/>
      <c r="F53" s="13"/>
      <c r="G53" s="3"/>
      <c r="M53" s="5">
        <v>40891</v>
      </c>
      <c r="N53" s="7">
        <v>0.34583333333333338</v>
      </c>
      <c r="O53" s="7">
        <v>0.68611111111111101</v>
      </c>
      <c r="P53" s="3">
        <v>490</v>
      </c>
      <c r="Q53" s="26">
        <v>6102</v>
      </c>
      <c r="R53" s="24"/>
      <c r="S53" s="22"/>
      <c r="T53" s="3"/>
      <c r="U53" s="36"/>
      <c r="V53" s="36"/>
    </row>
    <row r="54" spans="1:22" x14ac:dyDescent="0.3">
      <c r="A54" s="3">
        <f t="shared" si="5"/>
        <v>85</v>
      </c>
      <c r="B54" s="36">
        <f t="shared" si="0"/>
        <v>0</v>
      </c>
      <c r="C54" s="36">
        <f t="shared" si="1"/>
        <v>0</v>
      </c>
      <c r="D54" s="13"/>
      <c r="E54" s="13"/>
      <c r="F54" s="13"/>
      <c r="G54" s="3"/>
      <c r="M54" s="5"/>
      <c r="N54" s="7"/>
      <c r="O54" s="7"/>
      <c r="P54" s="3"/>
      <c r="Q54" s="26"/>
      <c r="R54" s="24"/>
      <c r="S54" s="22"/>
      <c r="T54" s="3"/>
      <c r="U54" s="36"/>
      <c r="V54" s="36"/>
    </row>
    <row r="55" spans="1:22" x14ac:dyDescent="0.3">
      <c r="A55" s="3">
        <f t="shared" si="5"/>
        <v>90</v>
      </c>
      <c r="B55" s="36">
        <f t="shared" si="0"/>
        <v>893</v>
      </c>
      <c r="C55" s="36">
        <f t="shared" si="1"/>
        <v>11149</v>
      </c>
      <c r="D55" s="13">
        <f t="shared" si="2"/>
        <v>12.48488241881299</v>
      </c>
      <c r="E55" s="13"/>
      <c r="F55" s="13"/>
      <c r="G55" s="3"/>
      <c r="M55" s="5">
        <v>40891</v>
      </c>
      <c r="N55" s="7">
        <v>0.68680555555555556</v>
      </c>
      <c r="O55" s="7">
        <v>0.30694444444444441</v>
      </c>
      <c r="P55" s="3">
        <v>893</v>
      </c>
      <c r="Q55" s="26">
        <v>11149</v>
      </c>
      <c r="R55" s="24"/>
      <c r="S55" s="22"/>
      <c r="T55" s="3"/>
      <c r="U55" s="36"/>
      <c r="V55" s="36"/>
    </row>
    <row r="56" spans="1:22" x14ac:dyDescent="0.3">
      <c r="A56" s="3">
        <f t="shared" si="5"/>
        <v>95</v>
      </c>
      <c r="B56" s="36">
        <f t="shared" si="0"/>
        <v>0</v>
      </c>
      <c r="C56" s="36">
        <f t="shared" si="1"/>
        <v>0</v>
      </c>
      <c r="D56" s="13"/>
      <c r="E56" s="13"/>
      <c r="F56" s="13"/>
      <c r="M56" s="5"/>
      <c r="N56" s="7"/>
      <c r="O56" s="7"/>
      <c r="P56" s="3"/>
      <c r="Q56" s="26"/>
      <c r="R56" s="24"/>
      <c r="S56" s="22"/>
      <c r="T56" s="3"/>
      <c r="U56" s="36"/>
      <c r="V56" s="36"/>
    </row>
    <row r="57" spans="1:22" x14ac:dyDescent="0.3">
      <c r="A57" s="3">
        <f t="shared" si="5"/>
        <v>100</v>
      </c>
      <c r="B57" s="36">
        <f t="shared" si="0"/>
        <v>481</v>
      </c>
      <c r="C57" s="36">
        <f t="shared" si="1"/>
        <v>5849</v>
      </c>
      <c r="D57" s="13">
        <f t="shared" si="2"/>
        <v>12.160083160083159</v>
      </c>
      <c r="E57" s="13"/>
      <c r="F57" s="13"/>
      <c r="M57" s="5">
        <v>40892</v>
      </c>
      <c r="N57" s="7">
        <v>0.30763888888888891</v>
      </c>
      <c r="O57" s="7">
        <v>0.64166666666666672</v>
      </c>
      <c r="P57" s="3">
        <v>481</v>
      </c>
      <c r="Q57" s="25">
        <v>5849</v>
      </c>
      <c r="R57" s="24"/>
      <c r="S57" s="24"/>
      <c r="U57" s="38"/>
      <c r="V57" s="38"/>
    </row>
    <row r="58" spans="1:22" x14ac:dyDescent="0.3">
      <c r="B58" s="36"/>
      <c r="C58" s="36"/>
      <c r="F58" s="13"/>
      <c r="L58" s="24"/>
      <c r="M58" s="24"/>
    </row>
    <row r="59" spans="1:22" x14ac:dyDescent="0.3">
      <c r="B59" s="36"/>
      <c r="C59" s="36"/>
      <c r="F59" s="13"/>
      <c r="L59" s="24"/>
      <c r="M59" s="24"/>
    </row>
    <row r="60" spans="1:22" x14ac:dyDescent="0.3">
      <c r="A60" s="15" t="s">
        <v>52</v>
      </c>
      <c r="C60" s="45" t="s">
        <v>51</v>
      </c>
      <c r="D60" s="17">
        <v>12.3</v>
      </c>
      <c r="F60" s="15"/>
      <c r="G60" s="15"/>
      <c r="H60" s="31"/>
      <c r="I60" s="21"/>
      <c r="J60" s="21"/>
      <c r="K60" s="16"/>
      <c r="L60" s="46"/>
      <c r="M60" s="24"/>
    </row>
    <row r="61" spans="1:22" x14ac:dyDescent="0.3">
      <c r="A61" s="15" t="s">
        <v>53</v>
      </c>
      <c r="B61" s="16">
        <f>P61+'Tl-204'!S58</f>
        <v>1180</v>
      </c>
      <c r="C61" s="16">
        <f>Q61+'Tl-204'!T58</f>
        <v>14512</v>
      </c>
      <c r="D61" s="17">
        <f>IF(B61=0, 0, (C61/B61))</f>
        <v>12.298305084745763</v>
      </c>
      <c r="I61" s="40"/>
      <c r="M61" s="18">
        <v>40892</v>
      </c>
      <c r="N61" s="21">
        <v>0.6430555555555556</v>
      </c>
      <c r="O61" s="21">
        <v>0.46249999999999997</v>
      </c>
      <c r="P61" s="16">
        <v>1180</v>
      </c>
      <c r="Q61" s="33">
        <v>14512</v>
      </c>
    </row>
    <row r="62" spans="1:22" x14ac:dyDescent="0.3">
      <c r="A62" s="15"/>
      <c r="D62" s="17"/>
      <c r="L62" s="24"/>
      <c r="M62" s="24"/>
    </row>
  </sheetData>
  <hyperlinks>
    <hyperlink ref="E2" r:id="rId1"/>
  </hyperlinks>
  <pageMargins left="0.7" right="0.7" top="0.75" bottom="0.75" header="0.3" footer="0.3"/>
  <pageSetup orientation="landscape" horizontalDpi="1200" verticalDpi="120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44" workbookViewId="0"/>
  </sheetViews>
  <sheetFormatPr defaultColWidth="8.88671875" defaultRowHeight="14.4" x14ac:dyDescent="0.3"/>
  <cols>
    <col min="1" max="1" width="13.44140625" customWidth="1"/>
    <col min="3" max="3" width="11.109375" customWidth="1"/>
    <col min="4" max="4" width="13" customWidth="1"/>
    <col min="6" max="6" width="10.6640625" customWidth="1"/>
    <col min="7" max="7" width="10.109375" customWidth="1"/>
    <col min="8" max="8" width="7.44140625" customWidth="1"/>
    <col min="9" max="9" width="8" customWidth="1"/>
    <col min="11" max="11" width="19.88671875" customWidth="1"/>
    <col min="13" max="13" width="11" customWidth="1"/>
  </cols>
  <sheetData>
    <row r="1" spans="1:17" ht="18" x14ac:dyDescent="0.35">
      <c r="A1" s="6" t="s">
        <v>0</v>
      </c>
      <c r="F1" t="s">
        <v>1</v>
      </c>
    </row>
    <row r="2" spans="1:17" ht="18" x14ac:dyDescent="0.35">
      <c r="A2" s="6" t="s">
        <v>15</v>
      </c>
      <c r="F2" s="2" t="s">
        <v>2</v>
      </c>
      <c r="G2" s="2"/>
    </row>
    <row r="3" spans="1:17" x14ac:dyDescent="0.3">
      <c r="F3" s="1">
        <v>40893</v>
      </c>
      <c r="G3" s="1" t="s">
        <v>59</v>
      </c>
    </row>
    <row r="4" spans="1:17" x14ac:dyDescent="0.3">
      <c r="F4" s="1">
        <v>40926</v>
      </c>
      <c r="G4" t="s">
        <v>60</v>
      </c>
    </row>
    <row r="5" spans="1:17" x14ac:dyDescent="0.3">
      <c r="A5" t="s">
        <v>3</v>
      </c>
    </row>
    <row r="6" spans="1:17" ht="16.2" x14ac:dyDescent="0.35">
      <c r="A6" s="20" t="s">
        <v>55</v>
      </c>
      <c r="C6" t="s">
        <v>56</v>
      </c>
      <c r="E6" t="s">
        <v>61</v>
      </c>
    </row>
    <row r="7" spans="1:17" ht="16.8" x14ac:dyDescent="0.35">
      <c r="A7" t="s">
        <v>40</v>
      </c>
      <c r="B7" s="3">
        <v>0.51100000000000001</v>
      </c>
      <c r="C7" t="s">
        <v>41</v>
      </c>
      <c r="D7" t="s">
        <v>56</v>
      </c>
      <c r="E7" t="s">
        <v>97</v>
      </c>
      <c r="I7" t="s">
        <v>98</v>
      </c>
    </row>
    <row r="8" spans="1:17" ht="15.6" x14ac:dyDescent="0.35">
      <c r="A8" t="s">
        <v>8</v>
      </c>
      <c r="D8" t="s">
        <v>99</v>
      </c>
      <c r="E8" t="s">
        <v>104</v>
      </c>
      <c r="H8" t="s">
        <v>100</v>
      </c>
      <c r="K8" t="s">
        <v>103</v>
      </c>
    </row>
    <row r="9" spans="1:17" ht="16.8" x14ac:dyDescent="0.35">
      <c r="A9" t="s">
        <v>36</v>
      </c>
      <c r="B9" s="3">
        <v>6.2</v>
      </c>
      <c r="C9" t="s">
        <v>38</v>
      </c>
      <c r="E9" t="s">
        <v>101</v>
      </c>
      <c r="I9" t="s">
        <v>102</v>
      </c>
    </row>
    <row r="10" spans="1:17" x14ac:dyDescent="0.3">
      <c r="A10" t="s">
        <v>37</v>
      </c>
      <c r="B10" s="3">
        <v>6.9000000000000006E-2</v>
      </c>
      <c r="C10" t="s">
        <v>39</v>
      </c>
      <c r="D10" t="s">
        <v>80</v>
      </c>
    </row>
    <row r="11" spans="1:17" x14ac:dyDescent="0.3">
      <c r="A11" t="s">
        <v>50</v>
      </c>
    </row>
    <row r="12" spans="1:17" x14ac:dyDescent="0.3">
      <c r="A12" t="s">
        <v>7</v>
      </c>
    </row>
    <row r="13" spans="1:17" x14ac:dyDescent="0.3">
      <c r="A13" t="s">
        <v>28</v>
      </c>
      <c r="C13">
        <v>920</v>
      </c>
      <c r="D13" t="s">
        <v>27</v>
      </c>
      <c r="G13" s="29" t="s">
        <v>106</v>
      </c>
    </row>
    <row r="14" spans="1:17" x14ac:dyDescent="0.3">
      <c r="I14" s="47" t="s">
        <v>57</v>
      </c>
      <c r="J14" s="4" t="s">
        <v>45</v>
      </c>
      <c r="K14" s="40"/>
    </row>
    <row r="15" spans="1:17" x14ac:dyDescent="0.3">
      <c r="A15" s="3" t="s">
        <v>9</v>
      </c>
      <c r="B15" s="3" t="s">
        <v>16</v>
      </c>
      <c r="C15" s="3" t="s">
        <v>16</v>
      </c>
      <c r="D15" s="19" t="s">
        <v>22</v>
      </c>
      <c r="E15" s="3" t="s">
        <v>23</v>
      </c>
      <c r="F15" s="3" t="s">
        <v>29</v>
      </c>
      <c r="G15" s="29" t="s">
        <v>31</v>
      </c>
      <c r="H15" s="39" t="s">
        <v>43</v>
      </c>
      <c r="I15" s="39" t="s">
        <v>58</v>
      </c>
      <c r="J15" s="3" t="s">
        <v>46</v>
      </c>
      <c r="K15" s="13" t="s">
        <v>54</v>
      </c>
      <c r="P15" s="4" t="s">
        <v>19</v>
      </c>
      <c r="Q15" s="28"/>
    </row>
    <row r="16" spans="1:17" x14ac:dyDescent="0.3">
      <c r="A16" s="48" t="s">
        <v>10</v>
      </c>
      <c r="B16" s="49" t="s">
        <v>12</v>
      </c>
      <c r="C16" s="49" t="s">
        <v>13</v>
      </c>
      <c r="D16" s="49" t="s">
        <v>14</v>
      </c>
      <c r="E16" s="50" t="s">
        <v>14</v>
      </c>
      <c r="F16" s="50" t="s">
        <v>14</v>
      </c>
      <c r="G16" s="50" t="s">
        <v>14</v>
      </c>
      <c r="H16" s="49" t="s">
        <v>44</v>
      </c>
      <c r="I16" s="49" t="s">
        <v>42</v>
      </c>
      <c r="J16" s="49" t="s">
        <v>47</v>
      </c>
      <c r="K16" s="51" t="s">
        <v>49</v>
      </c>
      <c r="L16" s="48" t="s">
        <v>10</v>
      </c>
      <c r="M16" s="48" t="s">
        <v>11</v>
      </c>
      <c r="N16" s="48" t="s">
        <v>17</v>
      </c>
      <c r="O16" s="48" t="s">
        <v>18</v>
      </c>
      <c r="P16" s="49" t="s">
        <v>20</v>
      </c>
      <c r="Q16" s="52" t="s">
        <v>13</v>
      </c>
    </row>
    <row r="17" spans="1:17" x14ac:dyDescent="0.3">
      <c r="A17" s="3">
        <v>-100</v>
      </c>
      <c r="B17" s="36">
        <f t="shared" ref="B17:C57" si="0">P17+U17</f>
        <v>100</v>
      </c>
      <c r="C17" s="36">
        <f t="shared" si="0"/>
        <v>29572</v>
      </c>
      <c r="D17" s="13">
        <f t="shared" ref="D17:D57" si="1">IF(B17=0, 0, (C17/B17))</f>
        <v>295.72000000000003</v>
      </c>
      <c r="E17" s="13">
        <f>IF(D17-$D$60&gt;0, D17-$D$60, 0)</f>
        <v>283.42169491525425</v>
      </c>
      <c r="F17" s="13">
        <f>D57</f>
        <v>116.39772727272727</v>
      </c>
      <c r="G17" s="13">
        <f>D17-F17</f>
        <v>179.32227272727278</v>
      </c>
      <c r="H17" s="13">
        <f>($B$9/2)/TAN(ABS(RADIANS(A17)/2))</f>
        <v>2.6012088566495679</v>
      </c>
      <c r="I17" s="13">
        <f>$B$7*(SQRT((3*$B$10*H17/$B$7)^2+1)-1)</f>
        <v>0.23132718781499559</v>
      </c>
      <c r="L17" s="3">
        <v>-100</v>
      </c>
      <c r="M17" s="5">
        <v>40893</v>
      </c>
      <c r="N17" s="7">
        <v>0.52152777777777781</v>
      </c>
      <c r="O17" s="7">
        <v>0.59097222222222223</v>
      </c>
      <c r="P17" s="4">
        <v>100</v>
      </c>
      <c r="Q17" s="32">
        <v>29572</v>
      </c>
    </row>
    <row r="18" spans="1:17" x14ac:dyDescent="0.3">
      <c r="A18" s="3">
        <f>A17+5</f>
        <v>-95</v>
      </c>
      <c r="B18" s="36">
        <f t="shared" si="0"/>
        <v>60</v>
      </c>
      <c r="C18" s="36">
        <f t="shared" si="0"/>
        <v>20632</v>
      </c>
      <c r="D18" s="13">
        <f t="shared" si="1"/>
        <v>343.86666666666667</v>
      </c>
      <c r="E18" s="13">
        <f t="shared" ref="E18:E57" si="2">IF(D18-$D$60&gt;0, D18-$D$60, 0)</f>
        <v>331.5683615819209</v>
      </c>
      <c r="F18" s="13">
        <f>D56</f>
        <v>111.56024096385542</v>
      </c>
      <c r="G18" s="13">
        <f t="shared" ref="G18:G37" si="3">D18-F18</f>
        <v>232.30642570281125</v>
      </c>
      <c r="H18" s="13">
        <f t="shared" ref="H18:H36" si="4">($B$9/2)/TAN(ABS(RADIANS(A18)/2))</f>
        <v>2.8406266394540127</v>
      </c>
      <c r="I18" s="13">
        <f t="shared" ref="I18:I36" si="5">$B$7*(SQRT((3*$B$10*H18/$B$7)^2+1)-1)</f>
        <v>0.26802273663221038</v>
      </c>
      <c r="J18" s="41">
        <f>(I18-I17)</f>
        <v>3.669554881721479E-2</v>
      </c>
      <c r="K18" s="36">
        <f>G18/J18</f>
        <v>6330.6431758238359</v>
      </c>
      <c r="L18" s="3">
        <f>L17+5</f>
        <v>-95</v>
      </c>
      <c r="M18" s="5">
        <v>40893</v>
      </c>
      <c r="N18" s="7">
        <v>0.59166666666666667</v>
      </c>
      <c r="O18" s="7">
        <v>0.6333333333333333</v>
      </c>
      <c r="P18" s="4">
        <v>60</v>
      </c>
      <c r="Q18" s="32">
        <v>20632</v>
      </c>
    </row>
    <row r="19" spans="1:17" x14ac:dyDescent="0.3">
      <c r="A19" s="3">
        <f t="shared" ref="A19:A57" si="6">A18+5</f>
        <v>-90</v>
      </c>
      <c r="B19" s="36">
        <f t="shared" si="0"/>
        <v>42</v>
      </c>
      <c r="C19" s="36">
        <f t="shared" si="0"/>
        <v>15916</v>
      </c>
      <c r="D19" s="13">
        <f t="shared" si="1"/>
        <v>378.95238095238096</v>
      </c>
      <c r="E19" s="13">
        <f t="shared" si="2"/>
        <v>366.65407586763519</v>
      </c>
      <c r="F19" s="13">
        <f>D55</f>
        <v>106.69473684210526</v>
      </c>
      <c r="G19" s="13">
        <f t="shared" si="3"/>
        <v>272.25764411027569</v>
      </c>
      <c r="H19" s="13">
        <f t="shared" si="4"/>
        <v>3.1000000000000005</v>
      </c>
      <c r="I19" s="13">
        <f t="shared" si="5"/>
        <v>0.30930475434438398</v>
      </c>
      <c r="J19" s="41">
        <f t="shared" ref="J19:J36" si="7">(I19-I18)</f>
        <v>4.1282017712173602E-2</v>
      </c>
      <c r="K19" s="36">
        <f t="shared" ref="K19:K36" si="8">G19/J19</f>
        <v>6595.0663072844418</v>
      </c>
      <c r="L19" s="3">
        <f t="shared" ref="L19:L57" si="9">L18+5</f>
        <v>-90</v>
      </c>
      <c r="M19" s="5">
        <v>40893</v>
      </c>
      <c r="N19" s="8">
        <v>0.63402777777777775</v>
      </c>
      <c r="O19" s="7">
        <v>0.66319444444444442</v>
      </c>
      <c r="P19" s="3">
        <v>42</v>
      </c>
      <c r="Q19" s="25">
        <v>15916</v>
      </c>
    </row>
    <row r="20" spans="1:17" x14ac:dyDescent="0.3">
      <c r="A20" s="3">
        <f t="shared" si="6"/>
        <v>-85</v>
      </c>
      <c r="B20" s="36">
        <f t="shared" si="0"/>
        <v>30</v>
      </c>
      <c r="C20" s="36">
        <f t="shared" si="0"/>
        <v>11612</v>
      </c>
      <c r="D20" s="13">
        <f t="shared" si="1"/>
        <v>387.06666666666666</v>
      </c>
      <c r="E20" s="13">
        <f t="shared" si="2"/>
        <v>374.76836158192089</v>
      </c>
      <c r="F20" s="13">
        <f>D54</f>
        <v>104.61306532663316</v>
      </c>
      <c r="G20" s="13">
        <f t="shared" si="3"/>
        <v>282.45360134003352</v>
      </c>
      <c r="H20" s="13">
        <f t="shared" si="4"/>
        <v>3.3830563533147413</v>
      </c>
      <c r="I20" s="13">
        <f t="shared" si="5"/>
        <v>0.35590877077319627</v>
      </c>
      <c r="J20" s="41">
        <f t="shared" si="7"/>
        <v>4.6604016428812289E-2</v>
      </c>
      <c r="K20" s="36">
        <f t="shared" si="8"/>
        <v>6060.7137106193804</v>
      </c>
      <c r="L20" s="3">
        <f t="shared" si="9"/>
        <v>-85</v>
      </c>
      <c r="M20" s="5">
        <v>40896</v>
      </c>
      <c r="N20" s="7">
        <v>0.3743055555555555</v>
      </c>
      <c r="O20" s="7">
        <v>0.39513888888888887</v>
      </c>
      <c r="P20" s="3">
        <v>30</v>
      </c>
      <c r="Q20" s="25">
        <v>11612</v>
      </c>
    </row>
    <row r="21" spans="1:17" x14ac:dyDescent="0.3">
      <c r="A21" s="3">
        <f t="shared" si="6"/>
        <v>-80</v>
      </c>
      <c r="B21" s="36">
        <f t="shared" si="0"/>
        <v>42</v>
      </c>
      <c r="C21" s="36">
        <f t="shared" si="0"/>
        <v>13917</v>
      </c>
      <c r="D21" s="13">
        <f t="shared" si="1"/>
        <v>331.35714285714283</v>
      </c>
      <c r="E21" s="13">
        <f t="shared" si="2"/>
        <v>319.05883777239706</v>
      </c>
      <c r="F21" s="13">
        <f>D53</f>
        <v>101.54198473282443</v>
      </c>
      <c r="G21" s="13">
        <f t="shared" si="3"/>
        <v>229.8151581243184</v>
      </c>
      <c r="H21" s="13">
        <f t="shared" si="4"/>
        <v>3.6944361370420515</v>
      </c>
      <c r="I21" s="13">
        <f t="shared" si="5"/>
        <v>0.40876134530940222</v>
      </c>
      <c r="J21" s="41">
        <f t="shared" si="7"/>
        <v>5.2852574536205954E-2</v>
      </c>
      <c r="K21" s="36">
        <f t="shared" si="8"/>
        <v>4348.2301503947847</v>
      </c>
      <c r="L21" s="3">
        <f t="shared" si="9"/>
        <v>-80</v>
      </c>
      <c r="M21" s="5">
        <v>40896</v>
      </c>
      <c r="N21" s="7">
        <v>0.39583333333333331</v>
      </c>
      <c r="O21" s="7">
        <v>0.42499999999999999</v>
      </c>
      <c r="P21" s="3">
        <v>42</v>
      </c>
      <c r="Q21" s="25">
        <v>13917</v>
      </c>
    </row>
    <row r="22" spans="1:17" x14ac:dyDescent="0.3">
      <c r="A22" s="3">
        <f t="shared" si="6"/>
        <v>-75</v>
      </c>
      <c r="B22" s="36">
        <f t="shared" si="0"/>
        <v>46</v>
      </c>
      <c r="C22" s="36">
        <f t="shared" si="0"/>
        <v>10573</v>
      </c>
      <c r="D22" s="13">
        <f t="shared" si="1"/>
        <v>229.84782608695653</v>
      </c>
      <c r="E22" s="13">
        <f t="shared" si="2"/>
        <v>217.54952100221078</v>
      </c>
      <c r="F22" s="13">
        <f>D52</f>
        <v>98.048543689320383</v>
      </c>
      <c r="G22" s="13">
        <f t="shared" si="3"/>
        <v>131.79928239763615</v>
      </c>
      <c r="H22" s="13">
        <f t="shared" si="4"/>
        <v>4.0399986558077376</v>
      </c>
      <c r="I22" s="13">
        <f t="shared" si="5"/>
        <v>0.46904325058333007</v>
      </c>
      <c r="J22" s="41">
        <f t="shared" si="7"/>
        <v>6.0281905273927849E-2</v>
      </c>
      <c r="K22" s="36">
        <f t="shared" si="8"/>
        <v>2186.3821622545802</v>
      </c>
      <c r="L22" s="3">
        <f t="shared" si="9"/>
        <v>-75</v>
      </c>
      <c r="M22" s="5">
        <v>40896</v>
      </c>
      <c r="N22" s="7">
        <v>0.42569444444444443</v>
      </c>
      <c r="O22" s="7">
        <v>0.45763888888888887</v>
      </c>
      <c r="P22" s="3">
        <v>46</v>
      </c>
      <c r="Q22" s="25">
        <v>10573</v>
      </c>
    </row>
    <row r="23" spans="1:17" x14ac:dyDescent="0.3">
      <c r="A23" s="3">
        <f t="shared" si="6"/>
        <v>-70</v>
      </c>
      <c r="B23" s="36">
        <f t="shared" si="0"/>
        <v>66</v>
      </c>
      <c r="C23" s="36">
        <f t="shared" si="0"/>
        <v>11218</v>
      </c>
      <c r="D23" s="13">
        <f t="shared" si="1"/>
        <v>169.96969696969697</v>
      </c>
      <c r="E23" s="13">
        <f t="shared" si="2"/>
        <v>157.67139188495122</v>
      </c>
      <c r="F23" s="13">
        <f>D51</f>
        <v>94.59615384615384</v>
      </c>
      <c r="G23" s="13">
        <f t="shared" si="3"/>
        <v>75.373543123543129</v>
      </c>
      <c r="H23" s="13">
        <f t="shared" si="4"/>
        <v>4.4272588209005557</v>
      </c>
      <c r="I23" s="13">
        <f t="shared" si="5"/>
        <v>0.5382797505768625</v>
      </c>
      <c r="J23" s="41">
        <f t="shared" si="7"/>
        <v>6.923649999353243E-2</v>
      </c>
      <c r="K23" s="36">
        <f t="shared" si="8"/>
        <v>1088.6388412265781</v>
      </c>
      <c r="L23" s="3">
        <f t="shared" si="9"/>
        <v>-70</v>
      </c>
      <c r="M23" s="5">
        <v>40896</v>
      </c>
      <c r="N23" s="7">
        <v>0.45833333333333331</v>
      </c>
      <c r="O23" s="7">
        <v>0.50416666666666665</v>
      </c>
      <c r="P23" s="3">
        <v>66</v>
      </c>
      <c r="Q23" s="25">
        <v>11218</v>
      </c>
    </row>
    <row r="24" spans="1:17" x14ac:dyDescent="0.3">
      <c r="A24" s="3">
        <f t="shared" si="6"/>
        <v>-65</v>
      </c>
      <c r="B24" s="36">
        <f t="shared" si="0"/>
        <v>86</v>
      </c>
      <c r="C24" s="36">
        <f t="shared" si="0"/>
        <v>10675</v>
      </c>
      <c r="D24" s="13">
        <f t="shared" si="1"/>
        <v>124.12790697674419</v>
      </c>
      <c r="E24" s="13">
        <f t="shared" si="2"/>
        <v>111.82960189199842</v>
      </c>
      <c r="F24" s="13">
        <f>D50</f>
        <v>92.404411764705884</v>
      </c>
      <c r="G24" s="13">
        <f t="shared" si="3"/>
        <v>31.723495212038301</v>
      </c>
      <c r="H24" s="13">
        <f t="shared" si="4"/>
        <v>4.8660252890642202</v>
      </c>
      <c r="I24" s="13">
        <f t="shared" si="5"/>
        <v>0.6184725682258746</v>
      </c>
      <c r="J24" s="41">
        <f t="shared" si="7"/>
        <v>8.0192817649012094E-2</v>
      </c>
      <c r="K24" s="36">
        <f t="shared" si="8"/>
        <v>395.59023042294996</v>
      </c>
      <c r="L24" s="3">
        <f t="shared" si="9"/>
        <v>-65</v>
      </c>
      <c r="M24" s="5">
        <v>40896</v>
      </c>
      <c r="N24" s="7">
        <v>0.50486111111111109</v>
      </c>
      <c r="O24" s="7">
        <v>0.56458333333333333</v>
      </c>
      <c r="P24" s="3">
        <v>86</v>
      </c>
      <c r="Q24" s="25">
        <v>10675</v>
      </c>
    </row>
    <row r="25" spans="1:17" x14ac:dyDescent="0.3">
      <c r="A25" s="3">
        <f t="shared" si="6"/>
        <v>-60</v>
      </c>
      <c r="B25" s="36">
        <f t="shared" si="0"/>
        <v>118</v>
      </c>
      <c r="C25" s="36">
        <f t="shared" si="0"/>
        <v>12840</v>
      </c>
      <c r="D25" s="13">
        <f t="shared" si="1"/>
        <v>108.8135593220339</v>
      </c>
      <c r="E25" s="13">
        <f t="shared" si="2"/>
        <v>96.515254237288133</v>
      </c>
      <c r="F25" s="13">
        <f>D49</f>
        <v>87.264705882352942</v>
      </c>
      <c r="G25" s="13">
        <f t="shared" si="3"/>
        <v>21.548853439680954</v>
      </c>
      <c r="H25" s="13">
        <f t="shared" si="4"/>
        <v>5.3693575034635197</v>
      </c>
      <c r="I25" s="13">
        <f t="shared" si="5"/>
        <v>0.71229786642501747</v>
      </c>
      <c r="J25" s="41">
        <f t="shared" si="7"/>
        <v>9.382529819914287E-2</v>
      </c>
      <c r="K25" s="36">
        <f t="shared" si="8"/>
        <v>229.66997018164352</v>
      </c>
      <c r="L25" s="3">
        <f t="shared" si="9"/>
        <v>-60</v>
      </c>
      <c r="M25" s="5">
        <v>40896</v>
      </c>
      <c r="N25" s="7">
        <v>0.56527777777777777</v>
      </c>
      <c r="O25" s="7">
        <v>0.64722222222222225</v>
      </c>
      <c r="P25" s="3">
        <v>118</v>
      </c>
      <c r="Q25" s="25">
        <v>12840</v>
      </c>
    </row>
    <row r="26" spans="1:17" x14ac:dyDescent="0.3">
      <c r="A26" s="3">
        <f t="shared" si="6"/>
        <v>-55</v>
      </c>
      <c r="B26" s="36">
        <f t="shared" si="0"/>
        <v>195</v>
      </c>
      <c r="C26" s="36">
        <f t="shared" si="0"/>
        <v>18174</v>
      </c>
      <c r="D26" s="13">
        <f t="shared" si="1"/>
        <v>93.2</v>
      </c>
      <c r="E26" s="13">
        <f t="shared" si="2"/>
        <v>80.90169491525424</v>
      </c>
      <c r="F26" s="13">
        <f>D48</f>
        <v>86.111111111111114</v>
      </c>
      <c r="G26" s="13">
        <f t="shared" si="3"/>
        <v>7.0888888888888886</v>
      </c>
      <c r="H26" s="13">
        <f t="shared" si="4"/>
        <v>5.9550445936106149</v>
      </c>
      <c r="I26" s="13">
        <f t="shared" si="5"/>
        <v>0.82341225520392236</v>
      </c>
      <c r="J26" s="41">
        <f t="shared" si="7"/>
        <v>0.11111438877890489</v>
      </c>
      <c r="K26" s="36">
        <f t="shared" si="8"/>
        <v>63.798118018669392</v>
      </c>
      <c r="L26" s="3">
        <f t="shared" si="9"/>
        <v>-55</v>
      </c>
      <c r="M26" s="5">
        <v>40897</v>
      </c>
      <c r="N26" s="7">
        <v>0.42430555555555555</v>
      </c>
      <c r="O26" s="7">
        <v>0.55972222222222223</v>
      </c>
      <c r="P26" s="3">
        <v>195</v>
      </c>
      <c r="Q26" s="25">
        <v>18174</v>
      </c>
    </row>
    <row r="27" spans="1:17" x14ac:dyDescent="0.3">
      <c r="A27" s="3">
        <f t="shared" si="6"/>
        <v>-50</v>
      </c>
      <c r="B27" s="36">
        <f t="shared" si="0"/>
        <v>153</v>
      </c>
      <c r="C27" s="36">
        <f t="shared" si="0"/>
        <v>13377</v>
      </c>
      <c r="D27" s="13">
        <f t="shared" si="1"/>
        <v>87.431372549019613</v>
      </c>
      <c r="E27" s="13">
        <f t="shared" si="2"/>
        <v>75.13306746427385</v>
      </c>
      <c r="F27" s="13">
        <f>D47</f>
        <v>82.338028169014081</v>
      </c>
      <c r="G27" s="13">
        <f t="shared" si="3"/>
        <v>5.0933443800055329</v>
      </c>
      <c r="H27" s="13">
        <f t="shared" si="4"/>
        <v>6.6479714535796317</v>
      </c>
      <c r="I27" s="13">
        <f t="shared" si="5"/>
        <v>0.9569424467790375</v>
      </c>
      <c r="J27" s="41">
        <f t="shared" si="7"/>
        <v>0.13353019157511514</v>
      </c>
      <c r="K27" s="36">
        <f t="shared" si="8"/>
        <v>38.143765989733929</v>
      </c>
      <c r="L27" s="3">
        <f t="shared" si="9"/>
        <v>-50</v>
      </c>
      <c r="M27" s="5">
        <v>40897</v>
      </c>
      <c r="N27" s="7">
        <v>0.56041666666666667</v>
      </c>
      <c r="O27" s="7">
        <v>0.66666666666666663</v>
      </c>
      <c r="P27" s="3">
        <v>153</v>
      </c>
      <c r="Q27" s="25">
        <v>13377</v>
      </c>
    </row>
    <row r="28" spans="1:17" x14ac:dyDescent="0.3">
      <c r="A28" s="3">
        <f t="shared" si="6"/>
        <v>-45</v>
      </c>
      <c r="B28" s="36">
        <f t="shared" si="0"/>
        <v>177</v>
      </c>
      <c r="C28" s="36">
        <f t="shared" si="0"/>
        <v>14717</v>
      </c>
      <c r="D28" s="13">
        <f t="shared" si="1"/>
        <v>83.146892655367225</v>
      </c>
      <c r="E28" s="13">
        <f t="shared" si="2"/>
        <v>70.848587570621461</v>
      </c>
      <c r="F28" s="13">
        <f>D46</f>
        <v>80.035460992907801</v>
      </c>
      <c r="G28" s="13">
        <f t="shared" si="3"/>
        <v>3.1114316624594238</v>
      </c>
      <c r="H28" s="13">
        <f t="shared" si="4"/>
        <v>7.4840620433565954</v>
      </c>
      <c r="I28" s="13">
        <f t="shared" si="5"/>
        <v>1.1203013982320613</v>
      </c>
      <c r="J28" s="41">
        <f t="shared" si="7"/>
        <v>0.16335895145302382</v>
      </c>
      <c r="K28" s="36">
        <f t="shared" si="8"/>
        <v>19.046594231808349</v>
      </c>
      <c r="L28" s="3">
        <f t="shared" si="9"/>
        <v>-45</v>
      </c>
      <c r="M28" s="5">
        <v>40911</v>
      </c>
      <c r="N28" s="7">
        <v>0.33958333333333335</v>
      </c>
      <c r="O28" s="7">
        <v>0.46249999999999997</v>
      </c>
      <c r="P28" s="3">
        <v>177</v>
      </c>
      <c r="Q28" s="25">
        <v>14717</v>
      </c>
    </row>
    <row r="29" spans="1:17" x14ac:dyDescent="0.3">
      <c r="A29" s="3">
        <f t="shared" si="6"/>
        <v>-40</v>
      </c>
      <c r="B29" s="36">
        <f t="shared" si="0"/>
        <v>162</v>
      </c>
      <c r="C29" s="36">
        <f t="shared" si="0"/>
        <v>13011</v>
      </c>
      <c r="D29" s="13">
        <f t="shared" si="1"/>
        <v>80.31481481481481</v>
      </c>
      <c r="E29" s="13">
        <f t="shared" si="2"/>
        <v>68.016509730069046</v>
      </c>
      <c r="F29" s="13">
        <f>D45</f>
        <v>78.270676691729321</v>
      </c>
      <c r="G29" s="13">
        <f t="shared" si="3"/>
        <v>2.0441381230854887</v>
      </c>
      <c r="H29" s="13">
        <f t="shared" si="4"/>
        <v>8.5171800003093292</v>
      </c>
      <c r="I29" s="13">
        <f t="shared" si="5"/>
        <v>1.3246166201445688</v>
      </c>
      <c r="J29" s="41">
        <f t="shared" si="7"/>
        <v>0.20431522191250751</v>
      </c>
      <c r="K29" s="36">
        <f t="shared" si="8"/>
        <v>10.004825406306907</v>
      </c>
      <c r="L29" s="3">
        <f t="shared" si="9"/>
        <v>-40</v>
      </c>
      <c r="M29" s="5">
        <v>40911</v>
      </c>
      <c r="N29" s="7">
        <v>0.46319444444444446</v>
      </c>
      <c r="O29" s="7">
        <v>0.5756944444444444</v>
      </c>
      <c r="P29" s="3">
        <v>162</v>
      </c>
      <c r="Q29" s="25">
        <v>13011</v>
      </c>
    </row>
    <row r="30" spans="1:17" x14ac:dyDescent="0.3">
      <c r="A30" s="3">
        <f t="shared" si="6"/>
        <v>-35</v>
      </c>
      <c r="B30" s="36">
        <f t="shared" si="0"/>
        <v>145</v>
      </c>
      <c r="C30" s="36">
        <f t="shared" si="0"/>
        <v>11280</v>
      </c>
      <c r="D30" s="13">
        <f t="shared" si="1"/>
        <v>77.793103448275858</v>
      </c>
      <c r="E30" s="13">
        <f t="shared" si="2"/>
        <v>65.494798363530094</v>
      </c>
      <c r="F30" s="13">
        <f>D44</f>
        <v>76.193333333333328</v>
      </c>
      <c r="G30" s="13">
        <f t="shared" si="3"/>
        <v>1.5997701149425296</v>
      </c>
      <c r="H30" s="13">
        <f t="shared" si="4"/>
        <v>9.8319438873259593</v>
      </c>
      <c r="I30" s="13">
        <f t="shared" si="5"/>
        <v>1.5873828179673266</v>
      </c>
      <c r="J30" s="41">
        <f t="shared" si="7"/>
        <v>0.26276619782275779</v>
      </c>
      <c r="K30" s="36">
        <f t="shared" si="8"/>
        <v>6.088188390279992</v>
      </c>
      <c r="L30" s="3">
        <f t="shared" si="9"/>
        <v>-35</v>
      </c>
      <c r="M30" s="5">
        <v>40911</v>
      </c>
      <c r="N30" s="7">
        <v>0.57638888888888895</v>
      </c>
      <c r="O30" s="7">
        <v>0.67708333333333337</v>
      </c>
      <c r="P30" s="3">
        <v>145</v>
      </c>
      <c r="Q30" s="25">
        <v>11280</v>
      </c>
    </row>
    <row r="31" spans="1:17" x14ac:dyDescent="0.3">
      <c r="A31" s="3">
        <f t="shared" si="6"/>
        <v>-30</v>
      </c>
      <c r="B31" s="36">
        <f t="shared" si="0"/>
        <v>196</v>
      </c>
      <c r="C31" s="36">
        <f t="shared" si="0"/>
        <v>14926</v>
      </c>
      <c r="D31" s="13">
        <f t="shared" si="1"/>
        <v>76.15306122448979</v>
      </c>
      <c r="E31" s="13">
        <f t="shared" si="2"/>
        <v>63.854756139744026</v>
      </c>
      <c r="F31" s="13">
        <f>D43</f>
        <v>74.792857142857144</v>
      </c>
      <c r="G31" s="13">
        <f t="shared" si="3"/>
        <v>1.3602040816326451</v>
      </c>
      <c r="H31" s="13">
        <f t="shared" si="4"/>
        <v>11.56935750346352</v>
      </c>
      <c r="I31" s="13">
        <f t="shared" si="5"/>
        <v>1.9377672543255851</v>
      </c>
      <c r="J31" s="41">
        <f t="shared" si="7"/>
        <v>0.35038443635825844</v>
      </c>
      <c r="K31" s="36">
        <f t="shared" si="8"/>
        <v>3.8820333910090512</v>
      </c>
      <c r="L31" s="3">
        <f t="shared" si="9"/>
        <v>-30</v>
      </c>
      <c r="M31" s="5">
        <v>40912</v>
      </c>
      <c r="N31" s="7">
        <v>0.34027777777777773</v>
      </c>
      <c r="O31" s="7">
        <v>0.47638888888888892</v>
      </c>
      <c r="P31" s="3">
        <v>196</v>
      </c>
      <c r="Q31" s="25">
        <v>14926</v>
      </c>
    </row>
    <row r="32" spans="1:17" x14ac:dyDescent="0.3">
      <c r="A32" s="3">
        <f t="shared" si="6"/>
        <v>-25</v>
      </c>
      <c r="B32" s="36">
        <f t="shared" si="0"/>
        <v>180</v>
      </c>
      <c r="C32" s="36">
        <f t="shared" si="0"/>
        <v>13175</v>
      </c>
      <c r="D32" s="13">
        <f t="shared" si="1"/>
        <v>73.194444444444443</v>
      </c>
      <c r="E32" s="13">
        <f t="shared" si="2"/>
        <v>60.89613935969868</v>
      </c>
      <c r="F32" s="13">
        <f>D42</f>
        <v>72.466292134831463</v>
      </c>
      <c r="G32" s="13">
        <f t="shared" si="3"/>
        <v>0.72815230961298028</v>
      </c>
      <c r="H32" s="13">
        <f t="shared" si="4"/>
        <v>13.983196361352379</v>
      </c>
      <c r="I32" s="13">
        <f t="shared" si="5"/>
        <v>2.4282816407744003</v>
      </c>
      <c r="J32" s="41">
        <f t="shared" si="7"/>
        <v>0.49051438644881529</v>
      </c>
      <c r="K32" s="36">
        <f t="shared" si="8"/>
        <v>1.484466775550858</v>
      </c>
      <c r="L32" s="3">
        <f t="shared" si="9"/>
        <v>-25</v>
      </c>
      <c r="M32" s="5">
        <v>40912</v>
      </c>
      <c r="N32" s="7">
        <v>0.4770833333333333</v>
      </c>
      <c r="O32" s="7">
        <v>0.6020833333333333</v>
      </c>
      <c r="P32" s="3">
        <v>180</v>
      </c>
      <c r="Q32" s="25">
        <v>13175</v>
      </c>
    </row>
    <row r="33" spans="1:17" x14ac:dyDescent="0.3">
      <c r="A33" s="3">
        <f t="shared" si="6"/>
        <v>-20</v>
      </c>
      <c r="B33" s="36">
        <f t="shared" si="0"/>
        <v>142</v>
      </c>
      <c r="C33" s="36">
        <f t="shared" si="0"/>
        <v>10236</v>
      </c>
      <c r="D33" s="13">
        <f t="shared" si="1"/>
        <v>72.08450704225352</v>
      </c>
      <c r="E33" s="13">
        <f t="shared" si="2"/>
        <v>59.786201957507757</v>
      </c>
      <c r="F33" s="13">
        <f>D41</f>
        <v>74.492063492063494</v>
      </c>
      <c r="G33" s="13">
        <f t="shared" si="3"/>
        <v>-2.4075564498099737</v>
      </c>
      <c r="H33" s="13">
        <f t="shared" si="4"/>
        <v>17.5809736408149</v>
      </c>
      <c r="I33" s="13">
        <f t="shared" si="5"/>
        <v>3.1639619838959154</v>
      </c>
      <c r="J33" s="41">
        <f t="shared" si="7"/>
        <v>0.73568034312151509</v>
      </c>
      <c r="K33" s="36">
        <f t="shared" si="8"/>
        <v>-3.2725578062812377</v>
      </c>
      <c r="L33" s="3">
        <f t="shared" si="9"/>
        <v>-20</v>
      </c>
      <c r="M33" s="5">
        <v>40912</v>
      </c>
      <c r="N33" s="7">
        <v>0.60347222222222219</v>
      </c>
      <c r="O33" s="7">
        <v>0.70208333333333339</v>
      </c>
      <c r="P33" s="3">
        <v>142</v>
      </c>
      <c r="Q33" s="25">
        <v>10236</v>
      </c>
    </row>
    <row r="34" spans="1:17" x14ac:dyDescent="0.3">
      <c r="A34" s="3">
        <f t="shared" si="6"/>
        <v>-15</v>
      </c>
      <c r="B34" s="36">
        <f t="shared" si="0"/>
        <v>246</v>
      </c>
      <c r="C34" s="36">
        <f t="shared" si="0"/>
        <v>18460</v>
      </c>
      <c r="D34" s="13">
        <f t="shared" si="1"/>
        <v>75.040650406504071</v>
      </c>
      <c r="E34" s="13">
        <f t="shared" si="2"/>
        <v>62.742345321758307</v>
      </c>
      <c r="F34" s="13">
        <f>D40</f>
        <v>76.584541062801932</v>
      </c>
      <c r="G34" s="13">
        <f t="shared" si="3"/>
        <v>-1.5438906562978616</v>
      </c>
      <c r="H34" s="13">
        <f t="shared" si="4"/>
        <v>23.54683774944797</v>
      </c>
      <c r="I34" s="13">
        <f t="shared" si="5"/>
        <v>4.3899082765526005</v>
      </c>
      <c r="J34" s="41">
        <f t="shared" si="7"/>
        <v>1.2259462926566851</v>
      </c>
      <c r="K34" s="36">
        <f t="shared" si="8"/>
        <v>-1.259346078654209</v>
      </c>
      <c r="L34" s="3">
        <f t="shared" si="9"/>
        <v>-15</v>
      </c>
      <c r="M34" s="5">
        <v>40913</v>
      </c>
      <c r="N34" s="7">
        <v>0.32083333333333336</v>
      </c>
      <c r="O34" s="7">
        <v>0.4916666666666667</v>
      </c>
      <c r="P34" s="3">
        <v>246</v>
      </c>
      <c r="Q34" s="26">
        <v>18460</v>
      </c>
    </row>
    <row r="35" spans="1:17" x14ac:dyDescent="0.3">
      <c r="A35" s="3">
        <f t="shared" si="6"/>
        <v>-10</v>
      </c>
      <c r="B35" s="36">
        <f t="shared" si="0"/>
        <v>135</v>
      </c>
      <c r="C35" s="36">
        <f t="shared" si="0"/>
        <v>10621</v>
      </c>
      <c r="D35" s="13">
        <f t="shared" si="1"/>
        <v>78.67407407407407</v>
      </c>
      <c r="E35" s="13">
        <f t="shared" si="2"/>
        <v>66.375768989328307</v>
      </c>
      <c r="F35" s="13">
        <f>D39</f>
        <v>79.680000000000007</v>
      </c>
      <c r="G35" s="13">
        <f t="shared" si="3"/>
        <v>-1.0059259259259363</v>
      </c>
      <c r="H35" s="13">
        <f t="shared" si="4"/>
        <v>35.433162138560164</v>
      </c>
      <c r="I35" s="13">
        <f t="shared" si="5"/>
        <v>6.8414434881923754</v>
      </c>
      <c r="J35" s="41">
        <f t="shared" si="7"/>
        <v>2.4515352116397748</v>
      </c>
      <c r="K35" s="36">
        <f t="shared" si="8"/>
        <v>-0.4103248940296052</v>
      </c>
      <c r="L35" s="3">
        <f t="shared" si="9"/>
        <v>-10</v>
      </c>
      <c r="M35" s="5">
        <v>40913</v>
      </c>
      <c r="N35" s="7">
        <v>0.49236111111111108</v>
      </c>
      <c r="O35" s="7">
        <v>0.58611111111111114</v>
      </c>
      <c r="P35" s="3">
        <v>135</v>
      </c>
      <c r="Q35" s="26">
        <v>10621</v>
      </c>
    </row>
    <row r="36" spans="1:17" x14ac:dyDescent="0.3">
      <c r="A36" s="3">
        <f t="shared" si="6"/>
        <v>-5</v>
      </c>
      <c r="B36" s="36">
        <f t="shared" si="0"/>
        <v>174</v>
      </c>
      <c r="C36" s="36">
        <f t="shared" si="0"/>
        <v>14190</v>
      </c>
      <c r="D36" s="13">
        <f t="shared" si="1"/>
        <v>81.551724137931032</v>
      </c>
      <c r="E36" s="13">
        <f t="shared" si="2"/>
        <v>69.253419053185269</v>
      </c>
      <c r="F36" s="13">
        <f>D38</f>
        <v>84.375939849624061</v>
      </c>
      <c r="G36" s="13">
        <f t="shared" si="3"/>
        <v>-2.8242157116930287</v>
      </c>
      <c r="H36" s="13">
        <f t="shared" si="4"/>
        <v>71.001673200136722</v>
      </c>
      <c r="I36" s="13">
        <f t="shared" si="5"/>
        <v>14.195226939743502</v>
      </c>
      <c r="J36" s="41">
        <f t="shared" si="7"/>
        <v>7.3537834515511271</v>
      </c>
      <c r="K36" s="36">
        <f t="shared" si="8"/>
        <v>-0.38404934416410091</v>
      </c>
      <c r="L36" s="3">
        <f t="shared" si="9"/>
        <v>-5</v>
      </c>
      <c r="M36" s="5">
        <v>40913</v>
      </c>
      <c r="N36" s="7">
        <v>0.58680555555555558</v>
      </c>
      <c r="O36" s="7">
        <v>0.70763888888888893</v>
      </c>
      <c r="P36" s="3">
        <v>174</v>
      </c>
      <c r="Q36" s="26">
        <v>14190</v>
      </c>
    </row>
    <row r="37" spans="1:17" x14ac:dyDescent="0.3">
      <c r="A37" s="3">
        <f t="shared" si="6"/>
        <v>0</v>
      </c>
      <c r="B37" s="36">
        <f t="shared" si="0"/>
        <v>191</v>
      </c>
      <c r="C37" s="36">
        <f t="shared" si="0"/>
        <v>16366</v>
      </c>
      <c r="D37" s="13">
        <f t="shared" si="1"/>
        <v>85.685863874345543</v>
      </c>
      <c r="E37" s="13">
        <f t="shared" si="2"/>
        <v>73.38755878959978</v>
      </c>
      <c r="F37" s="13">
        <f>D37</f>
        <v>85.685863874345543</v>
      </c>
      <c r="G37" s="13">
        <f t="shared" si="3"/>
        <v>0</v>
      </c>
      <c r="H37" s="13"/>
      <c r="L37" s="3">
        <f t="shared" si="9"/>
        <v>0</v>
      </c>
      <c r="M37" s="5">
        <v>40914</v>
      </c>
      <c r="N37" s="7">
        <v>0.31736111111111115</v>
      </c>
      <c r="O37" s="7">
        <v>0.45</v>
      </c>
      <c r="P37" s="3">
        <v>191</v>
      </c>
      <c r="Q37" s="26">
        <v>16366</v>
      </c>
    </row>
    <row r="38" spans="1:17" x14ac:dyDescent="0.3">
      <c r="A38" s="3">
        <f t="shared" si="6"/>
        <v>5</v>
      </c>
      <c r="B38" s="36">
        <f t="shared" si="0"/>
        <v>133</v>
      </c>
      <c r="C38" s="36">
        <f t="shared" si="0"/>
        <v>11222</v>
      </c>
      <c r="D38" s="13">
        <f t="shared" si="1"/>
        <v>84.375939849624061</v>
      </c>
      <c r="E38" s="13">
        <f t="shared" si="2"/>
        <v>72.077634764878297</v>
      </c>
      <c r="G38" s="3"/>
      <c r="L38" s="3">
        <f t="shared" si="9"/>
        <v>5</v>
      </c>
      <c r="M38" s="5">
        <v>40914</v>
      </c>
      <c r="N38" s="7">
        <v>0.45069444444444445</v>
      </c>
      <c r="O38" s="7">
        <v>0.54305555555555551</v>
      </c>
      <c r="P38" s="3">
        <v>133</v>
      </c>
      <c r="Q38" s="26">
        <v>11222</v>
      </c>
    </row>
    <row r="39" spans="1:17" x14ac:dyDescent="0.3">
      <c r="A39" s="3">
        <f t="shared" si="6"/>
        <v>10</v>
      </c>
      <c r="B39" s="36">
        <f t="shared" si="0"/>
        <v>150</v>
      </c>
      <c r="C39" s="36">
        <f t="shared" si="0"/>
        <v>11952</v>
      </c>
      <c r="D39" s="13">
        <f t="shared" si="1"/>
        <v>79.680000000000007</v>
      </c>
      <c r="E39" s="13">
        <f t="shared" si="2"/>
        <v>67.381694915254243</v>
      </c>
      <c r="F39" s="13"/>
      <c r="G39" s="3"/>
      <c r="L39" s="3">
        <f t="shared" si="9"/>
        <v>10</v>
      </c>
      <c r="M39" s="5">
        <v>40914</v>
      </c>
      <c r="N39" s="7">
        <v>0.54375000000000007</v>
      </c>
      <c r="O39" s="7">
        <v>0.6479166666666667</v>
      </c>
      <c r="P39" s="3">
        <v>150</v>
      </c>
      <c r="Q39" s="26">
        <v>11952</v>
      </c>
    </row>
    <row r="40" spans="1:17" x14ac:dyDescent="0.3">
      <c r="A40" s="3">
        <f t="shared" si="6"/>
        <v>15</v>
      </c>
      <c r="B40" s="36">
        <f t="shared" si="0"/>
        <v>207</v>
      </c>
      <c r="C40" s="36">
        <f t="shared" si="0"/>
        <v>15853</v>
      </c>
      <c r="D40" s="13">
        <f t="shared" si="1"/>
        <v>76.584541062801932</v>
      </c>
      <c r="E40" s="13">
        <f t="shared" si="2"/>
        <v>64.286235978056169</v>
      </c>
      <c r="F40" s="13"/>
      <c r="G40" s="3"/>
      <c r="L40" s="3">
        <f t="shared" si="9"/>
        <v>15</v>
      </c>
      <c r="M40" s="5">
        <v>40917</v>
      </c>
      <c r="N40" s="7">
        <v>0.32222222222222224</v>
      </c>
      <c r="O40" s="7">
        <v>0.46597222222222223</v>
      </c>
      <c r="P40" s="3">
        <v>207</v>
      </c>
      <c r="Q40" s="26">
        <v>15853</v>
      </c>
    </row>
    <row r="41" spans="1:17" x14ac:dyDescent="0.3">
      <c r="A41" s="3">
        <f t="shared" si="6"/>
        <v>20</v>
      </c>
      <c r="B41" s="36">
        <f t="shared" si="0"/>
        <v>189</v>
      </c>
      <c r="C41" s="36">
        <f t="shared" si="0"/>
        <v>14079</v>
      </c>
      <c r="D41" s="13">
        <f t="shared" si="1"/>
        <v>74.492063492063494</v>
      </c>
      <c r="E41" s="13">
        <f t="shared" si="2"/>
        <v>62.193758407317731</v>
      </c>
      <c r="F41" s="13"/>
      <c r="G41" s="3"/>
      <c r="L41" s="3">
        <f t="shared" si="9"/>
        <v>20</v>
      </c>
      <c r="M41" s="5">
        <v>40917</v>
      </c>
      <c r="N41" s="7">
        <v>0.46666666666666662</v>
      </c>
      <c r="O41" s="7">
        <v>0.59791666666666665</v>
      </c>
      <c r="P41" s="3">
        <v>189</v>
      </c>
      <c r="Q41" s="26">
        <v>14079</v>
      </c>
    </row>
    <row r="42" spans="1:17" x14ac:dyDescent="0.3">
      <c r="A42" s="3">
        <f t="shared" si="6"/>
        <v>25</v>
      </c>
      <c r="B42" s="36">
        <f t="shared" si="0"/>
        <v>178</v>
      </c>
      <c r="C42" s="36">
        <f t="shared" si="0"/>
        <v>12899</v>
      </c>
      <c r="D42" s="13">
        <f t="shared" si="1"/>
        <v>72.466292134831463</v>
      </c>
      <c r="E42" s="13">
        <f t="shared" si="2"/>
        <v>60.167987050085699</v>
      </c>
      <c r="F42" s="13"/>
      <c r="G42" s="3"/>
      <c r="L42" s="3">
        <f t="shared" si="9"/>
        <v>25</v>
      </c>
      <c r="M42" s="5">
        <v>40917</v>
      </c>
      <c r="N42" s="7">
        <v>0.59930555555555554</v>
      </c>
      <c r="O42" s="7">
        <v>0.72291666666666676</v>
      </c>
      <c r="P42" s="3">
        <v>178</v>
      </c>
      <c r="Q42" s="26">
        <v>12899</v>
      </c>
    </row>
    <row r="43" spans="1:17" x14ac:dyDescent="0.3">
      <c r="A43" s="3">
        <f t="shared" si="6"/>
        <v>30</v>
      </c>
      <c r="B43" s="36">
        <f t="shared" si="0"/>
        <v>140</v>
      </c>
      <c r="C43" s="36">
        <f t="shared" si="0"/>
        <v>10471</v>
      </c>
      <c r="D43" s="13">
        <f t="shared" si="1"/>
        <v>74.792857142857144</v>
      </c>
      <c r="E43" s="13">
        <f t="shared" si="2"/>
        <v>62.494552058111381</v>
      </c>
      <c r="F43" s="13"/>
      <c r="G43" s="3"/>
      <c r="L43" s="3">
        <f t="shared" si="9"/>
        <v>30</v>
      </c>
      <c r="M43" s="5">
        <v>40918</v>
      </c>
      <c r="N43" s="7">
        <v>0.34722222222222227</v>
      </c>
      <c r="O43" s="7">
        <v>0.44444444444444442</v>
      </c>
      <c r="P43" s="3">
        <v>140</v>
      </c>
      <c r="Q43" s="26">
        <v>10471</v>
      </c>
    </row>
    <row r="44" spans="1:17" x14ac:dyDescent="0.3">
      <c r="A44" s="3">
        <f t="shared" si="6"/>
        <v>35</v>
      </c>
      <c r="B44" s="36">
        <f t="shared" si="0"/>
        <v>150</v>
      </c>
      <c r="C44" s="36">
        <f t="shared" si="0"/>
        <v>11429</v>
      </c>
      <c r="D44" s="13">
        <f t="shared" si="1"/>
        <v>76.193333333333328</v>
      </c>
      <c r="E44" s="13">
        <f t="shared" si="2"/>
        <v>63.895028248587565</v>
      </c>
      <c r="F44" s="13"/>
      <c r="G44" s="3"/>
      <c r="L44" s="3">
        <f t="shared" si="9"/>
        <v>35</v>
      </c>
      <c r="M44" s="5">
        <v>40918</v>
      </c>
      <c r="N44" s="7">
        <v>0.44513888888888892</v>
      </c>
      <c r="O44" s="7">
        <v>0.5493055555555556</v>
      </c>
      <c r="P44" s="3">
        <v>150</v>
      </c>
      <c r="Q44" s="26">
        <v>11429</v>
      </c>
    </row>
    <row r="45" spans="1:17" x14ac:dyDescent="0.3">
      <c r="A45" s="3">
        <f t="shared" si="6"/>
        <v>40</v>
      </c>
      <c r="B45" s="36">
        <f t="shared" si="0"/>
        <v>133</v>
      </c>
      <c r="C45" s="36">
        <f t="shared" si="0"/>
        <v>10410</v>
      </c>
      <c r="D45" s="13">
        <f t="shared" si="1"/>
        <v>78.270676691729321</v>
      </c>
      <c r="E45" s="13">
        <f t="shared" si="2"/>
        <v>65.972371606983558</v>
      </c>
      <c r="F45" s="13"/>
      <c r="G45" s="3"/>
      <c r="L45" s="3">
        <f t="shared" si="9"/>
        <v>40</v>
      </c>
      <c r="M45" s="5">
        <v>40918</v>
      </c>
      <c r="N45" s="7">
        <v>0.54999999999999993</v>
      </c>
      <c r="O45" s="7">
        <v>0.64236111111111105</v>
      </c>
      <c r="P45" s="3">
        <v>133</v>
      </c>
      <c r="Q45" s="26">
        <v>10410</v>
      </c>
    </row>
    <row r="46" spans="1:17" x14ac:dyDescent="0.3">
      <c r="A46" s="3">
        <f t="shared" si="6"/>
        <v>45</v>
      </c>
      <c r="B46" s="36">
        <f t="shared" si="0"/>
        <v>141</v>
      </c>
      <c r="C46" s="36">
        <f t="shared" si="0"/>
        <v>11285</v>
      </c>
      <c r="D46" s="13">
        <f t="shared" si="1"/>
        <v>80.035460992907801</v>
      </c>
      <c r="E46" s="13">
        <f t="shared" si="2"/>
        <v>67.737155908162038</v>
      </c>
      <c r="F46" s="13"/>
      <c r="G46" s="3"/>
      <c r="L46" s="3">
        <f t="shared" si="9"/>
        <v>45</v>
      </c>
      <c r="M46" s="5">
        <v>40919</v>
      </c>
      <c r="N46" s="7">
        <v>0.32013888888888892</v>
      </c>
      <c r="O46" s="7">
        <v>0.41805555555555557</v>
      </c>
      <c r="P46" s="3">
        <v>141</v>
      </c>
      <c r="Q46" s="26">
        <v>11285</v>
      </c>
    </row>
    <row r="47" spans="1:17" x14ac:dyDescent="0.3">
      <c r="A47" s="3">
        <f t="shared" si="6"/>
        <v>50</v>
      </c>
      <c r="B47" s="36">
        <f t="shared" si="0"/>
        <v>213</v>
      </c>
      <c r="C47" s="36">
        <f t="shared" si="0"/>
        <v>17538</v>
      </c>
      <c r="D47" s="13">
        <f t="shared" si="1"/>
        <v>82.338028169014081</v>
      </c>
      <c r="E47" s="13">
        <f t="shared" si="2"/>
        <v>70.039723084268317</v>
      </c>
      <c r="F47" s="13"/>
      <c r="G47" s="3"/>
      <c r="L47" s="3">
        <f t="shared" si="9"/>
        <v>50</v>
      </c>
      <c r="M47" s="5">
        <v>40919</v>
      </c>
      <c r="N47" s="7">
        <v>0.41875000000000001</v>
      </c>
      <c r="O47" s="7">
        <v>0.56666666666666665</v>
      </c>
      <c r="P47" s="3">
        <v>213</v>
      </c>
      <c r="Q47" s="26">
        <v>17538</v>
      </c>
    </row>
    <row r="48" spans="1:17" x14ac:dyDescent="0.3">
      <c r="A48" s="3">
        <f t="shared" si="6"/>
        <v>55</v>
      </c>
      <c r="B48" s="36">
        <f t="shared" si="0"/>
        <v>198</v>
      </c>
      <c r="C48" s="36">
        <f t="shared" si="0"/>
        <v>17050</v>
      </c>
      <c r="D48" s="13">
        <f t="shared" si="1"/>
        <v>86.111111111111114</v>
      </c>
      <c r="E48" s="13">
        <f t="shared" si="2"/>
        <v>73.812806026365351</v>
      </c>
      <c r="F48" s="13"/>
      <c r="G48" s="3"/>
      <c r="L48" s="3">
        <f t="shared" si="9"/>
        <v>55</v>
      </c>
      <c r="M48" s="5">
        <v>40919</v>
      </c>
      <c r="N48" s="7">
        <v>0.56736111111111109</v>
      </c>
      <c r="O48" s="7">
        <v>0.70486111111111116</v>
      </c>
      <c r="P48" s="3">
        <v>198</v>
      </c>
      <c r="Q48" s="26">
        <v>17050</v>
      </c>
    </row>
    <row r="49" spans="1:17" x14ac:dyDescent="0.3">
      <c r="A49" s="3">
        <f t="shared" si="6"/>
        <v>60</v>
      </c>
      <c r="B49" s="36">
        <f t="shared" si="0"/>
        <v>136</v>
      </c>
      <c r="C49" s="36">
        <f t="shared" si="0"/>
        <v>11868</v>
      </c>
      <c r="D49" s="13">
        <f t="shared" si="1"/>
        <v>87.264705882352942</v>
      </c>
      <c r="E49" s="13">
        <f t="shared" si="2"/>
        <v>74.966400797607179</v>
      </c>
      <c r="F49" s="13"/>
      <c r="G49" s="3"/>
      <c r="L49" s="3">
        <f t="shared" si="9"/>
        <v>60</v>
      </c>
      <c r="M49" s="5">
        <v>40920</v>
      </c>
      <c r="N49" s="7">
        <v>0.32777777777777778</v>
      </c>
      <c r="O49" s="7">
        <v>0.42222222222222222</v>
      </c>
      <c r="P49" s="3">
        <v>136</v>
      </c>
      <c r="Q49" s="26">
        <v>11868</v>
      </c>
    </row>
    <row r="50" spans="1:17" x14ac:dyDescent="0.3">
      <c r="A50" s="3">
        <f t="shared" si="6"/>
        <v>65</v>
      </c>
      <c r="B50" s="36">
        <f t="shared" si="0"/>
        <v>136</v>
      </c>
      <c r="C50" s="36">
        <f t="shared" si="0"/>
        <v>12567</v>
      </c>
      <c r="D50" s="13">
        <f t="shared" si="1"/>
        <v>92.404411764705884</v>
      </c>
      <c r="E50" s="13">
        <f t="shared" si="2"/>
        <v>80.106106679960121</v>
      </c>
      <c r="F50" s="13"/>
      <c r="G50" s="3"/>
      <c r="L50" s="3">
        <f t="shared" si="9"/>
        <v>65</v>
      </c>
      <c r="M50" s="5">
        <v>40920</v>
      </c>
      <c r="N50" s="7">
        <v>0.4381944444444445</v>
      </c>
      <c r="O50" s="7">
        <v>0.53263888888888888</v>
      </c>
      <c r="P50" s="3">
        <v>136</v>
      </c>
      <c r="Q50" s="26">
        <v>12567</v>
      </c>
    </row>
    <row r="51" spans="1:17" x14ac:dyDescent="0.3">
      <c r="A51" s="3">
        <f t="shared" si="6"/>
        <v>70</v>
      </c>
      <c r="B51" s="36">
        <f t="shared" si="0"/>
        <v>156</v>
      </c>
      <c r="C51" s="36">
        <f t="shared" si="0"/>
        <v>14757</v>
      </c>
      <c r="D51" s="13">
        <f t="shared" si="1"/>
        <v>94.59615384615384</v>
      </c>
      <c r="E51" s="13">
        <f t="shared" si="2"/>
        <v>82.297848761408076</v>
      </c>
      <c r="F51" s="13"/>
      <c r="G51" s="3"/>
      <c r="L51" s="3">
        <f t="shared" si="9"/>
        <v>70</v>
      </c>
      <c r="M51" s="5">
        <v>40920</v>
      </c>
      <c r="N51" s="7">
        <v>0.53333333333333333</v>
      </c>
      <c r="O51" s="7">
        <v>0.64166666666666672</v>
      </c>
      <c r="P51" s="3">
        <v>156</v>
      </c>
      <c r="Q51" s="26">
        <v>14757</v>
      </c>
    </row>
    <row r="52" spans="1:17" x14ac:dyDescent="0.3">
      <c r="A52" s="3">
        <f t="shared" si="6"/>
        <v>75</v>
      </c>
      <c r="B52" s="36">
        <f t="shared" si="0"/>
        <v>103</v>
      </c>
      <c r="C52" s="36">
        <f t="shared" si="0"/>
        <v>10099</v>
      </c>
      <c r="D52" s="13">
        <f t="shared" si="1"/>
        <v>98.048543689320383</v>
      </c>
      <c r="E52" s="13">
        <f t="shared" si="2"/>
        <v>85.750238604574619</v>
      </c>
      <c r="F52" s="13"/>
      <c r="G52" s="3"/>
      <c r="L52" s="3">
        <f t="shared" si="9"/>
        <v>75</v>
      </c>
      <c r="M52" s="5">
        <v>40920</v>
      </c>
      <c r="N52" s="7">
        <v>0.64236111111111105</v>
      </c>
      <c r="O52" s="7">
        <v>0.71388888888888891</v>
      </c>
      <c r="P52" s="3">
        <v>103</v>
      </c>
      <c r="Q52" s="26">
        <v>10099</v>
      </c>
    </row>
    <row r="53" spans="1:17" x14ac:dyDescent="0.3">
      <c r="A53" s="3">
        <f t="shared" si="6"/>
        <v>80</v>
      </c>
      <c r="B53" s="36">
        <f t="shared" si="0"/>
        <v>131</v>
      </c>
      <c r="C53" s="36">
        <f t="shared" si="0"/>
        <v>13302</v>
      </c>
      <c r="D53" s="13">
        <f t="shared" si="1"/>
        <v>101.54198473282443</v>
      </c>
      <c r="E53" s="13">
        <f t="shared" si="2"/>
        <v>89.243679648078668</v>
      </c>
      <c r="F53" s="13"/>
      <c r="G53" s="3"/>
      <c r="L53" s="3">
        <f t="shared" si="9"/>
        <v>80</v>
      </c>
      <c r="M53" s="5">
        <v>40925</v>
      </c>
      <c r="N53" s="7">
        <v>0.32708333333333334</v>
      </c>
      <c r="O53" s="7">
        <v>0.41805555555555557</v>
      </c>
      <c r="P53" s="3">
        <v>131</v>
      </c>
      <c r="Q53" s="26">
        <v>13302</v>
      </c>
    </row>
    <row r="54" spans="1:17" x14ac:dyDescent="0.3">
      <c r="A54" s="3">
        <f t="shared" si="6"/>
        <v>85</v>
      </c>
      <c r="B54" s="36">
        <f t="shared" si="0"/>
        <v>199</v>
      </c>
      <c r="C54" s="36">
        <f t="shared" si="0"/>
        <v>20818</v>
      </c>
      <c r="D54" s="13">
        <f t="shared" si="1"/>
        <v>104.61306532663316</v>
      </c>
      <c r="E54" s="13">
        <f t="shared" si="2"/>
        <v>92.314760241887399</v>
      </c>
      <c r="F54" s="13"/>
      <c r="G54" s="3"/>
      <c r="L54" s="3">
        <f t="shared" si="9"/>
        <v>85</v>
      </c>
      <c r="M54" s="5">
        <v>40925</v>
      </c>
      <c r="N54" s="7">
        <v>0.4694444444444445</v>
      </c>
      <c r="O54" s="7">
        <v>0.60763888888888895</v>
      </c>
      <c r="P54" s="3">
        <v>199</v>
      </c>
      <c r="Q54" s="26">
        <v>20818</v>
      </c>
    </row>
    <row r="55" spans="1:17" x14ac:dyDescent="0.3">
      <c r="A55" s="3">
        <f t="shared" si="6"/>
        <v>90</v>
      </c>
      <c r="B55" s="36">
        <f t="shared" si="0"/>
        <v>95</v>
      </c>
      <c r="C55" s="36">
        <f t="shared" si="0"/>
        <v>10136</v>
      </c>
      <c r="D55" s="13">
        <f t="shared" si="1"/>
        <v>106.69473684210526</v>
      </c>
      <c r="E55" s="13">
        <f t="shared" si="2"/>
        <v>94.396431757359494</v>
      </c>
      <c r="F55" s="13"/>
      <c r="G55" s="3"/>
      <c r="L55" s="3">
        <f t="shared" si="9"/>
        <v>90</v>
      </c>
      <c r="M55" s="5">
        <v>40925</v>
      </c>
      <c r="N55" s="7">
        <v>0.60833333333333328</v>
      </c>
      <c r="O55" s="7">
        <v>0.6743055555555556</v>
      </c>
      <c r="P55" s="3">
        <v>95</v>
      </c>
      <c r="Q55" s="26">
        <v>10136</v>
      </c>
    </row>
    <row r="56" spans="1:17" x14ac:dyDescent="0.3">
      <c r="A56" s="3">
        <f t="shared" si="6"/>
        <v>95</v>
      </c>
      <c r="B56" s="36">
        <f t="shared" si="0"/>
        <v>166</v>
      </c>
      <c r="C56" s="36">
        <f t="shared" si="0"/>
        <v>18519</v>
      </c>
      <c r="D56" s="13">
        <f t="shared" si="1"/>
        <v>111.56024096385542</v>
      </c>
      <c r="E56" s="13">
        <f t="shared" si="2"/>
        <v>99.261935879109657</v>
      </c>
      <c r="F56" s="13"/>
      <c r="L56" s="3">
        <f t="shared" si="9"/>
        <v>95</v>
      </c>
      <c r="M56" s="5">
        <v>40926</v>
      </c>
      <c r="N56" s="7">
        <v>0.31458333333333333</v>
      </c>
      <c r="O56" s="7">
        <v>0.42986111111111108</v>
      </c>
      <c r="P56" s="3">
        <v>166</v>
      </c>
      <c r="Q56" s="26">
        <v>18519</v>
      </c>
    </row>
    <row r="57" spans="1:17" x14ac:dyDescent="0.3">
      <c r="A57" s="3">
        <f t="shared" si="6"/>
        <v>100</v>
      </c>
      <c r="B57" s="36">
        <f t="shared" si="0"/>
        <v>88</v>
      </c>
      <c r="C57" s="36">
        <f t="shared" si="0"/>
        <v>10243</v>
      </c>
      <c r="D57" s="13">
        <f t="shared" si="1"/>
        <v>116.39772727272727</v>
      </c>
      <c r="E57" s="13">
        <f t="shared" si="2"/>
        <v>104.0994221879815</v>
      </c>
      <c r="F57" s="13"/>
      <c r="L57" s="3">
        <f t="shared" si="9"/>
        <v>100</v>
      </c>
      <c r="M57" s="5">
        <v>40926</v>
      </c>
      <c r="N57" s="7">
        <v>0.43055555555555558</v>
      </c>
      <c r="O57" s="7">
        <v>0.4916666666666667</v>
      </c>
      <c r="P57" s="3">
        <v>88</v>
      </c>
      <c r="Q57" s="25">
        <v>10243</v>
      </c>
    </row>
    <row r="58" spans="1:17" x14ac:dyDescent="0.3">
      <c r="B58" s="36"/>
      <c r="C58" s="36"/>
      <c r="F58" s="13"/>
      <c r="Q58" s="28"/>
    </row>
    <row r="59" spans="1:17" x14ac:dyDescent="0.3">
      <c r="B59" s="36"/>
      <c r="C59" s="36"/>
      <c r="F59" s="13"/>
      <c r="Q59" s="28"/>
    </row>
    <row r="60" spans="1:17" x14ac:dyDescent="0.3">
      <c r="A60" s="15" t="s">
        <v>21</v>
      </c>
      <c r="B60" s="36">
        <f>P60+U60</f>
        <v>1180</v>
      </c>
      <c r="C60" s="36">
        <f>Q60+V60</f>
        <v>14512</v>
      </c>
      <c r="D60" s="17">
        <f>IF(B60=0, 0, (C60/B60))</f>
        <v>12.298305084745763</v>
      </c>
      <c r="E60" s="13">
        <f>IF(D60-'Tl-204'!$D$58&gt;0, D60-'Tl-204'!$D$58, 0)</f>
        <v>0</v>
      </c>
      <c r="F60" s="15"/>
      <c r="G60" s="15"/>
      <c r="M60" s="18">
        <v>40892</v>
      </c>
      <c r="N60" s="21">
        <v>0.6430555555555556</v>
      </c>
      <c r="O60" s="21">
        <v>0.46249999999999997</v>
      </c>
      <c r="P60" s="16">
        <v>1180</v>
      </c>
      <c r="Q60" s="33">
        <v>14512</v>
      </c>
    </row>
    <row r="61" spans="1:17" x14ac:dyDescent="0.3">
      <c r="B61" s="36">
        <f>P61+U61</f>
        <v>180</v>
      </c>
      <c r="C61" s="36">
        <f>Q61+V61</f>
        <v>2160</v>
      </c>
      <c r="D61" s="17">
        <f>IF(B61=0, 0, (C61/B61))</f>
        <v>12</v>
      </c>
      <c r="E61" s="13">
        <f>IF(D61-'Tl-204'!$D$58&gt;0, D61-'Tl-204'!$D$58, 0)</f>
        <v>0</v>
      </c>
      <c r="M61" s="31">
        <v>40926</v>
      </c>
      <c r="N61" s="21">
        <v>0.49513888888888885</v>
      </c>
      <c r="O61" s="21">
        <v>0.62013888888888891</v>
      </c>
      <c r="P61" s="16">
        <v>180</v>
      </c>
      <c r="Q61" s="33">
        <v>2160</v>
      </c>
    </row>
    <row r="63" spans="1:17" x14ac:dyDescent="0.3">
      <c r="A63" t="s">
        <v>141</v>
      </c>
    </row>
    <row r="64" spans="1:17" x14ac:dyDescent="0.3">
      <c r="A64" t="s">
        <v>142</v>
      </c>
    </row>
    <row r="65" spans="1:1" x14ac:dyDescent="0.3">
      <c r="A65" t="s">
        <v>143</v>
      </c>
    </row>
    <row r="66" spans="1:1" x14ac:dyDescent="0.3">
      <c r="A66" t="s">
        <v>140</v>
      </c>
    </row>
  </sheetData>
  <hyperlinks>
    <hyperlink ref="F2" r:id="rId1"/>
  </hyperlinks>
  <pageMargins left="0.7" right="0.7" top="0.75" bottom="0.75" header="0.3" footer="0.3"/>
  <pageSetup orientation="landscape" horizontalDpi="1200" verticalDpi="120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E22" sqref="E22"/>
    </sheetView>
  </sheetViews>
  <sheetFormatPr defaultColWidth="8.88671875" defaultRowHeight="14.4" x14ac:dyDescent="0.3"/>
  <cols>
    <col min="1" max="1" width="9.6640625" bestFit="1" customWidth="1"/>
    <col min="2" max="2" width="10.44140625" customWidth="1"/>
  </cols>
  <sheetData>
    <row r="1" spans="1:7" ht="18" x14ac:dyDescent="0.35">
      <c r="A1" s="53" t="s">
        <v>63</v>
      </c>
      <c r="E1" s="56" t="s">
        <v>1</v>
      </c>
      <c r="G1" t="s">
        <v>150</v>
      </c>
    </row>
    <row r="2" spans="1:7" x14ac:dyDescent="0.3">
      <c r="A2" t="s">
        <v>62</v>
      </c>
    </row>
    <row r="3" spans="1:7" x14ac:dyDescent="0.3">
      <c r="A3" s="1">
        <v>40933</v>
      </c>
      <c r="B3" s="59" t="s">
        <v>148</v>
      </c>
    </row>
    <row r="4" spans="1:7" x14ac:dyDescent="0.3">
      <c r="B4" t="s">
        <v>149</v>
      </c>
    </row>
    <row r="16" spans="1:7" x14ac:dyDescent="0.3">
      <c r="A16" t="s">
        <v>147</v>
      </c>
      <c r="G16" t="s">
        <v>73</v>
      </c>
    </row>
    <row r="17" spans="1:11" x14ac:dyDescent="0.3">
      <c r="G17" t="s">
        <v>75</v>
      </c>
    </row>
    <row r="18" spans="1:11" ht="16.2" x14ac:dyDescent="0.3">
      <c r="G18" t="s">
        <v>74</v>
      </c>
    </row>
    <row r="19" spans="1:11" x14ac:dyDescent="0.3">
      <c r="A19" t="s">
        <v>64</v>
      </c>
    </row>
    <row r="20" spans="1:11" x14ac:dyDescent="0.3">
      <c r="A20" t="s">
        <v>66</v>
      </c>
      <c r="C20" s="3">
        <v>6.2</v>
      </c>
      <c r="D20" t="s">
        <v>38</v>
      </c>
      <c r="E20" t="s">
        <v>65</v>
      </c>
    </row>
    <row r="21" spans="1:11" x14ac:dyDescent="0.3">
      <c r="A21" t="s">
        <v>67</v>
      </c>
      <c r="C21" s="3">
        <v>1.2</v>
      </c>
      <c r="D21" t="s">
        <v>38</v>
      </c>
      <c r="E21" t="s">
        <v>152</v>
      </c>
    </row>
    <row r="23" spans="1:11" x14ac:dyDescent="0.3">
      <c r="A23" t="s">
        <v>69</v>
      </c>
    </row>
    <row r="24" spans="1:11" ht="15.6" x14ac:dyDescent="0.35">
      <c r="A24" t="s">
        <v>70</v>
      </c>
      <c r="C24" t="s">
        <v>82</v>
      </c>
      <c r="K24" t="s">
        <v>117</v>
      </c>
    </row>
    <row r="25" spans="1:11" x14ac:dyDescent="0.3">
      <c r="C25" t="s">
        <v>84</v>
      </c>
    </row>
    <row r="26" spans="1:11" x14ac:dyDescent="0.3">
      <c r="C26" t="s">
        <v>83</v>
      </c>
    </row>
    <row r="27" spans="1:11" x14ac:dyDescent="0.3">
      <c r="A27" t="s">
        <v>71</v>
      </c>
      <c r="C27" s="3">
        <v>6.6500000000000004E-2</v>
      </c>
      <c r="D27" t="s">
        <v>39</v>
      </c>
      <c r="E27" t="s">
        <v>72</v>
      </c>
      <c r="F27" s="3">
        <v>7.8</v>
      </c>
      <c r="G27" t="s">
        <v>38</v>
      </c>
      <c r="H27" t="s">
        <v>68</v>
      </c>
    </row>
    <row r="28" spans="1:11" x14ac:dyDescent="0.3">
      <c r="A28" t="s">
        <v>81</v>
      </c>
      <c r="C28" s="3">
        <v>6.9199999999999998E-2</v>
      </c>
      <c r="D28" t="s">
        <v>39</v>
      </c>
      <c r="E28" t="s">
        <v>72</v>
      </c>
      <c r="F28" s="3">
        <v>7.5</v>
      </c>
      <c r="G28" t="s">
        <v>38</v>
      </c>
      <c r="H28" t="s">
        <v>76</v>
      </c>
    </row>
    <row r="29" spans="1:11" x14ac:dyDescent="0.3">
      <c r="C29" s="3">
        <v>7.0099999999999996E-2</v>
      </c>
      <c r="D29" t="s">
        <v>39</v>
      </c>
      <c r="E29" t="s">
        <v>72</v>
      </c>
      <c r="F29" s="3">
        <v>7.4</v>
      </c>
      <c r="G29" t="s">
        <v>38</v>
      </c>
    </row>
    <row r="31" spans="1:11" x14ac:dyDescent="0.3">
      <c r="B31" s="54" t="s">
        <v>78</v>
      </c>
      <c r="C31" s="16">
        <v>6.9000000000000006E-2</v>
      </c>
      <c r="D31" s="15" t="s">
        <v>39</v>
      </c>
      <c r="E31" t="s">
        <v>79</v>
      </c>
    </row>
    <row r="32" spans="1:11" x14ac:dyDescent="0.3">
      <c r="E32" t="s">
        <v>77</v>
      </c>
    </row>
    <row r="36" spans="7:11" x14ac:dyDescent="0.3">
      <c r="G36" t="s">
        <v>107</v>
      </c>
      <c r="J36" t="s">
        <v>110</v>
      </c>
      <c r="K36" t="s">
        <v>112</v>
      </c>
    </row>
    <row r="37" spans="7:11" x14ac:dyDescent="0.3">
      <c r="H37" s="55" t="s">
        <v>108</v>
      </c>
    </row>
    <row r="38" spans="7:11" ht="16.2" x14ac:dyDescent="0.3">
      <c r="K38" t="s">
        <v>113</v>
      </c>
    </row>
    <row r="39" spans="7:11" x14ac:dyDescent="0.3">
      <c r="H39" t="s">
        <v>135</v>
      </c>
    </row>
    <row r="40" spans="7:11" ht="16.2" x14ac:dyDescent="0.3">
      <c r="H40" t="s">
        <v>109</v>
      </c>
      <c r="K40" t="s">
        <v>114</v>
      </c>
    </row>
    <row r="42" spans="7:11" x14ac:dyDescent="0.3">
      <c r="H42" s="55" t="s">
        <v>115</v>
      </c>
      <c r="K42" t="s">
        <v>111</v>
      </c>
    </row>
    <row r="43" spans="7:11" x14ac:dyDescent="0.3">
      <c r="H43" s="55" t="s">
        <v>116</v>
      </c>
    </row>
    <row r="47" spans="7:11" x14ac:dyDescent="0.3">
      <c r="J47" t="s">
        <v>137</v>
      </c>
    </row>
    <row r="48" spans="7:11" x14ac:dyDescent="0.3">
      <c r="J48" t="s">
        <v>136</v>
      </c>
    </row>
    <row r="51" spans="1:10" x14ac:dyDescent="0.3">
      <c r="A51" t="s">
        <v>138</v>
      </c>
    </row>
    <row r="52" spans="1:10" x14ac:dyDescent="0.3">
      <c r="A52" t="s">
        <v>139</v>
      </c>
    </row>
    <row r="55" spans="1:10" x14ac:dyDescent="0.3">
      <c r="J55" t="s">
        <v>146</v>
      </c>
    </row>
    <row r="56" spans="1:10" x14ac:dyDescent="0.3">
      <c r="J56" t="s">
        <v>151</v>
      </c>
    </row>
  </sheetData>
  <pageMargins left="0.7" right="0.7" top="0.75" bottom="0.75" header="0.3" footer="0.3"/>
  <pageSetup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24" sqref="E24"/>
    </sheetView>
  </sheetViews>
  <sheetFormatPr defaultColWidth="8.88671875" defaultRowHeight="14.4" x14ac:dyDescent="0.3"/>
  <sheetData>
    <row r="1" spans="1:6" ht="15.6" x14ac:dyDescent="0.3">
      <c r="A1" s="20" t="s">
        <v>118</v>
      </c>
    </row>
    <row r="2" spans="1:6" ht="15.6" x14ac:dyDescent="0.3">
      <c r="A2" s="56" t="s">
        <v>119</v>
      </c>
    </row>
    <row r="3" spans="1:6" ht="15.6" x14ac:dyDescent="0.3">
      <c r="A3" s="56" t="s">
        <v>1</v>
      </c>
    </row>
    <row r="4" spans="1:6" ht="15.6" x14ac:dyDescent="0.3">
      <c r="A4" s="56" t="s">
        <v>120</v>
      </c>
    </row>
    <row r="5" spans="1:6" ht="15.6" x14ac:dyDescent="0.3">
      <c r="A5" s="56" t="s">
        <v>121</v>
      </c>
    </row>
    <row r="6" spans="1:6" ht="15.6" x14ac:dyDescent="0.3">
      <c r="A6" s="56"/>
    </row>
    <row r="7" spans="1:6" ht="15.6" x14ac:dyDescent="0.3">
      <c r="A7" s="56" t="s">
        <v>122</v>
      </c>
    </row>
    <row r="8" spans="1:6" ht="15.6" x14ac:dyDescent="0.3">
      <c r="A8" s="56" t="s">
        <v>123</v>
      </c>
    </row>
    <row r="9" spans="1:6" ht="15.6" x14ac:dyDescent="0.3">
      <c r="A9" s="56" t="s">
        <v>124</v>
      </c>
    </row>
    <row r="11" spans="1:6" x14ac:dyDescent="0.3">
      <c r="A11" t="s">
        <v>125</v>
      </c>
      <c r="C11" s="15" t="s">
        <v>126</v>
      </c>
    </row>
    <row r="12" spans="1:6" x14ac:dyDescent="0.3">
      <c r="A12" t="s">
        <v>127</v>
      </c>
      <c r="B12" t="s">
        <v>128</v>
      </c>
      <c r="C12" t="s">
        <v>129</v>
      </c>
      <c r="D12" t="s">
        <v>130</v>
      </c>
      <c r="E12" t="s">
        <v>131</v>
      </c>
      <c r="F12" t="s">
        <v>132</v>
      </c>
    </row>
    <row r="13" spans="1:6" x14ac:dyDescent="0.3">
      <c r="A13" s="4">
        <v>820</v>
      </c>
      <c r="B13" s="3">
        <v>0</v>
      </c>
      <c r="C13" s="3"/>
      <c r="D13" s="3"/>
      <c r="E13" s="3"/>
      <c r="F13" s="3">
        <f>AVERAGE(B13:E13)</f>
        <v>0</v>
      </c>
    </row>
    <row r="14" spans="1:6" x14ac:dyDescent="0.3">
      <c r="A14" s="3">
        <v>840</v>
      </c>
      <c r="B14" s="3">
        <v>15677</v>
      </c>
      <c r="C14" s="3">
        <v>0</v>
      </c>
      <c r="D14" s="3"/>
      <c r="E14" s="3"/>
      <c r="F14" s="36">
        <f>AVERAGE(B14:C14)</f>
        <v>7838.5</v>
      </c>
    </row>
    <row r="15" spans="1:6" x14ac:dyDescent="0.3">
      <c r="A15" s="3">
        <f t="shared" ref="A15:A28" si="0">A14+20</f>
        <v>860</v>
      </c>
      <c r="B15" s="3">
        <v>16271</v>
      </c>
      <c r="C15" s="3">
        <v>15227</v>
      </c>
      <c r="D15" s="3">
        <v>15285</v>
      </c>
      <c r="E15" s="3">
        <v>15513</v>
      </c>
      <c r="F15" s="36">
        <f>AVERAGE(B15:E15)</f>
        <v>15574</v>
      </c>
    </row>
    <row r="16" spans="1:6" x14ac:dyDescent="0.3">
      <c r="A16" s="3">
        <f t="shared" si="0"/>
        <v>880</v>
      </c>
      <c r="B16" s="3">
        <v>16850</v>
      </c>
      <c r="C16" s="3">
        <v>16123</v>
      </c>
      <c r="D16" s="3">
        <v>16238</v>
      </c>
      <c r="E16" s="3"/>
      <c r="F16" s="36">
        <f t="shared" ref="F16:F21" si="1">AVERAGE(B16:D16)</f>
        <v>16403.666666666668</v>
      </c>
    </row>
    <row r="17" spans="1:6" x14ac:dyDescent="0.3">
      <c r="A17" s="3">
        <f t="shared" si="0"/>
        <v>900</v>
      </c>
      <c r="B17" s="3">
        <v>16946</v>
      </c>
      <c r="C17" s="3">
        <v>16839</v>
      </c>
      <c r="D17" s="3">
        <v>16824</v>
      </c>
      <c r="E17" s="3"/>
      <c r="F17" s="36">
        <f t="shared" si="1"/>
        <v>16869.666666666668</v>
      </c>
    </row>
    <row r="18" spans="1:6" x14ac:dyDescent="0.3">
      <c r="A18" s="3">
        <f t="shared" si="0"/>
        <v>920</v>
      </c>
      <c r="B18" s="3">
        <v>17547</v>
      </c>
      <c r="C18" s="3">
        <v>17381</v>
      </c>
      <c r="D18" s="3">
        <v>17481</v>
      </c>
      <c r="E18" s="3"/>
      <c r="F18" s="36">
        <f t="shared" si="1"/>
        <v>17469.666666666668</v>
      </c>
    </row>
    <row r="19" spans="1:6" x14ac:dyDescent="0.3">
      <c r="A19" s="3">
        <f t="shared" si="0"/>
        <v>940</v>
      </c>
      <c r="B19" s="3">
        <v>17630</v>
      </c>
      <c r="C19" s="3">
        <v>17458</v>
      </c>
      <c r="D19" s="3">
        <v>17821</v>
      </c>
      <c r="E19" s="3"/>
      <c r="F19" s="36">
        <f t="shared" si="1"/>
        <v>17636.333333333332</v>
      </c>
    </row>
    <row r="20" spans="1:6" x14ac:dyDescent="0.3">
      <c r="A20" s="3">
        <f t="shared" si="0"/>
        <v>960</v>
      </c>
      <c r="B20" s="3">
        <v>17995</v>
      </c>
      <c r="C20" s="3">
        <v>18166</v>
      </c>
      <c r="D20" s="3">
        <v>17953</v>
      </c>
      <c r="E20" s="3"/>
      <c r="F20" s="36">
        <f t="shared" si="1"/>
        <v>18038</v>
      </c>
    </row>
    <row r="21" spans="1:6" x14ac:dyDescent="0.3">
      <c r="A21" s="3">
        <f t="shared" si="0"/>
        <v>980</v>
      </c>
      <c r="B21" s="3">
        <v>18226</v>
      </c>
      <c r="C21" s="3">
        <v>18521</v>
      </c>
      <c r="D21" s="3">
        <v>18070</v>
      </c>
      <c r="E21" s="3"/>
      <c r="F21" s="36">
        <f t="shared" si="1"/>
        <v>18272.333333333332</v>
      </c>
    </row>
    <row r="22" spans="1:6" x14ac:dyDescent="0.3">
      <c r="A22" s="3">
        <f t="shared" si="0"/>
        <v>1000</v>
      </c>
      <c r="B22" s="3">
        <v>18237</v>
      </c>
      <c r="C22" s="3">
        <v>18735</v>
      </c>
      <c r="D22" s="3">
        <v>18421</v>
      </c>
      <c r="E22" s="3">
        <v>18579</v>
      </c>
      <c r="F22" s="36">
        <f>AVERAGE(B22:E22)</f>
        <v>18493</v>
      </c>
    </row>
    <row r="23" spans="1:6" x14ac:dyDescent="0.3">
      <c r="A23" s="3">
        <f t="shared" si="0"/>
        <v>1020</v>
      </c>
      <c r="B23" s="3">
        <v>18682</v>
      </c>
      <c r="C23" s="3"/>
      <c r="D23" s="3"/>
      <c r="E23" s="3"/>
      <c r="F23" s="36">
        <f t="shared" ref="F23:F28" si="2">B23</f>
        <v>18682</v>
      </c>
    </row>
    <row r="24" spans="1:6" x14ac:dyDescent="0.3">
      <c r="A24" s="3">
        <f t="shared" si="0"/>
        <v>1040</v>
      </c>
      <c r="B24" s="3">
        <v>19095</v>
      </c>
      <c r="C24" s="3"/>
      <c r="D24" s="3"/>
      <c r="E24" s="3"/>
      <c r="F24" s="36">
        <f t="shared" si="2"/>
        <v>19095</v>
      </c>
    </row>
    <row r="25" spans="1:6" x14ac:dyDescent="0.3">
      <c r="A25" s="3">
        <f t="shared" si="0"/>
        <v>1060</v>
      </c>
      <c r="B25" s="3">
        <v>19379</v>
      </c>
      <c r="C25" s="3"/>
      <c r="D25" s="3"/>
      <c r="E25" s="57"/>
      <c r="F25" s="36">
        <f t="shared" si="2"/>
        <v>19379</v>
      </c>
    </row>
    <row r="26" spans="1:6" x14ac:dyDescent="0.3">
      <c r="A26" s="3">
        <f t="shared" si="0"/>
        <v>1080</v>
      </c>
      <c r="B26" s="3">
        <v>19762</v>
      </c>
      <c r="C26" s="3"/>
      <c r="D26" s="3"/>
      <c r="E26" s="3"/>
      <c r="F26" s="36">
        <f t="shared" si="2"/>
        <v>19762</v>
      </c>
    </row>
    <row r="27" spans="1:6" x14ac:dyDescent="0.3">
      <c r="A27" s="3">
        <f t="shared" si="0"/>
        <v>1100</v>
      </c>
      <c r="B27" s="3">
        <v>20025</v>
      </c>
      <c r="C27" s="3"/>
      <c r="D27" s="3"/>
      <c r="E27" s="3"/>
      <c r="F27" s="36">
        <f t="shared" si="2"/>
        <v>20025</v>
      </c>
    </row>
    <row r="28" spans="1:6" x14ac:dyDescent="0.3">
      <c r="A28" s="3">
        <f t="shared" si="0"/>
        <v>1120</v>
      </c>
      <c r="B28" s="3">
        <v>20105</v>
      </c>
      <c r="C28" s="3"/>
      <c r="D28" s="3"/>
      <c r="E28" s="3" t="s">
        <v>133</v>
      </c>
      <c r="F28" s="36">
        <f t="shared" si="2"/>
        <v>20105</v>
      </c>
    </row>
    <row r="29" spans="1:6" x14ac:dyDescent="0.3">
      <c r="A29" s="3"/>
    </row>
    <row r="30" spans="1:6" x14ac:dyDescent="0.3">
      <c r="A30" s="58" t="s">
        <v>134</v>
      </c>
    </row>
  </sheetData>
  <pageMargins left="0.7" right="0.7" top="0.75" bottom="0.75" header="0.3" footer="0.3"/>
  <pageSetup orientation="landscape" horizontalDpi="1200" verticalDpi="1200"/>
  <ignoredErrors>
    <ignoredError sqref="F13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Tl-204</vt:lpstr>
      <vt:lpstr>Na-22</vt:lpstr>
      <vt:lpstr>Sr-90</vt:lpstr>
      <vt:lpstr>Cs-137</vt:lpstr>
      <vt:lpstr>Beta Spec Info</vt:lpstr>
      <vt:lpstr>Geiger Counter Plateau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Shane Wood</cp:lastModifiedBy>
  <cp:lastPrinted>2016-04-21T15:11:39Z</cp:lastPrinted>
  <dcterms:created xsi:type="dcterms:W3CDTF">2011-09-12T13:47:40Z</dcterms:created>
  <dcterms:modified xsi:type="dcterms:W3CDTF">2018-08-07T10:39:37Z</dcterms:modified>
</cp:coreProperties>
</file>